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4"/>
  </bookViews>
  <sheets>
    <sheet name="за 1 кварта 2009 г" sheetId="1" r:id="rId1"/>
    <sheet name="за 6 месяцев 2009г" sheetId="2" r:id="rId2"/>
    <sheet name="за 9 месяцев" sheetId="3" r:id="rId3"/>
    <sheet name="на 1.11.09" sheetId="4" r:id="rId4"/>
    <sheet name="годовая" sheetId="5" r:id="rId5"/>
  </sheets>
  <definedNames>
    <definedName name="_xlnm.Print_Area" localSheetId="3">'на 1.11.09'!$A$1:$G$336</definedName>
  </definedNames>
  <calcPr fullCalcOnLoad="1"/>
</workbook>
</file>

<file path=xl/sharedStrings.xml><?xml version="1.0" encoding="utf-8"?>
<sst xmlns="http://schemas.openxmlformats.org/spreadsheetml/2006/main" count="8085" uniqueCount="461">
  <si>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</si>
  <si>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</si>
  <si>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</si>
  <si>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</si>
  <si>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</si>
  <si>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под-раздел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</si>
  <si>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</si>
  <si>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</si>
  <si>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</si>
  <si>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</si>
  <si>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</si>
  <si>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</si>
  <si>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</si>
  <si>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</si>
  <si>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Руководство и управление в сфере установленных функций органов госудаврственной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</si>
  <si>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</si>
  <si>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</si>
  <si>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</si>
  <si>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</si>
  <si>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03</t>
  </si>
  <si>
    <t>Центральный аппарат</t>
  </si>
  <si>
    <t>002 04 00</t>
  </si>
  <si>
    <t xml:space="preserve">01 </t>
  </si>
  <si>
    <t>Депутаты представительного органа муниципального образования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</si>
  <si>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</si>
  <si>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</si>
  <si>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Судебная система</t>
  </si>
  <si>
    <t>05</t>
  </si>
  <si>
    <t>Составление(изменение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</si>
  <si>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</si>
  <si>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Обеспечение деятельности финансовых , налоговыхи таможенных органов и оргнов финансового (финасново-бюджетного)надзора</t>
  </si>
  <si>
    <t>06</t>
  </si>
  <si>
    <t>12</t>
  </si>
  <si>
    <t xml:space="preserve">000 00 00 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</si>
  <si>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</si>
  <si>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</si>
  <si>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</si>
  <si>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001 38 00</t>
  </si>
  <si>
    <t>Выполнение функций бюджетными учреждениями</t>
  </si>
  <si>
    <t>001</t>
  </si>
  <si>
    <t>Национальная безопасность и правоохранительная деятельность</t>
  </si>
  <si>
    <t>Органы внутренних дел</t>
  </si>
  <si>
    <t>Обеспечение равного с Министерствами внутренних дел Россйиской федерации повышения денежного довольствия сотрудникам и заработной платы работникам подразделений милиции общественной безопсности и социальных выплат</t>
  </si>
  <si>
    <t>202 01 00</t>
  </si>
  <si>
    <t>Функционирование органов в сфере нациоанльной безопасности, правоохрнаитльной деятельности и обороны</t>
  </si>
  <si>
    <t>014</t>
  </si>
  <si>
    <t>Военный персонал</t>
  </si>
  <si>
    <t>202 58 00</t>
  </si>
  <si>
    <t>Социальные выплаты</t>
  </si>
  <si>
    <t>005</t>
  </si>
  <si>
    <t>Целевые программы муницпальных образований</t>
  </si>
  <si>
    <t>795 00 00</t>
  </si>
  <si>
    <t>Национальная экономика</t>
  </si>
  <si>
    <t>Сельское хозяйство и рыболовство</t>
  </si>
  <si>
    <t>Транспорт</t>
  </si>
  <si>
    <t>08</t>
  </si>
  <si>
    <t>Субсидии юридическим лицам</t>
  </si>
  <si>
    <t>006</t>
  </si>
  <si>
    <t>Целевые программы муниципальных образований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</si>
  <si>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</si>
  <si>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</si>
  <si>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</si>
  <si>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</si>
  <si>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</si>
  <si>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Обеспечение деятельности подведомственных учреждений</t>
  </si>
  <si>
    <t>420 99 00</t>
  </si>
  <si>
    <t>Общее образование</t>
  </si>
  <si>
    <t>421 99 00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</si>
  <si>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</si>
  <si>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</si>
  <si>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</si>
  <si>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</si>
  <si>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09</t>
  </si>
  <si>
    <t>Культура</t>
  </si>
  <si>
    <t>Культура, кинематография и средства массовой информации</t>
  </si>
  <si>
    <t>440 99 00</t>
  </si>
  <si>
    <t xml:space="preserve">440 99 00 </t>
  </si>
  <si>
    <t>441 99 00</t>
  </si>
  <si>
    <t>442 99 00</t>
  </si>
  <si>
    <t>Другие вопросы в области культуры, кинематографии и средств массовой информации</t>
  </si>
  <si>
    <t>452 99 00</t>
  </si>
  <si>
    <t xml:space="preserve"> 06</t>
  </si>
  <si>
    <t xml:space="preserve"> 001</t>
  </si>
  <si>
    <t>Здравоохранение,физичская культура и спорт</t>
  </si>
  <si>
    <t>Стационараная медицинска помощь</t>
  </si>
  <si>
    <t>470 99 00</t>
  </si>
  <si>
    <t>Амбулаторная помощь</t>
  </si>
  <si>
    <t>471 99 00</t>
  </si>
  <si>
    <t>478 99 00</t>
  </si>
  <si>
    <t>Физическая культура и спорт</t>
  </si>
  <si>
    <t>Другие вопросы в области здравоохранения, спорта и физической культуры</t>
  </si>
  <si>
    <t>10</t>
  </si>
  <si>
    <t>Социальная политика</t>
  </si>
  <si>
    <t>491 00 00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</si>
  <si>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</si>
  <si>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</si>
  <si>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</si>
  <si>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</si>
  <si>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507 99 00</t>
  </si>
  <si>
    <t>Социальное обеспечение населения</t>
  </si>
  <si>
    <t>505 29 01</t>
  </si>
  <si>
    <t xml:space="preserve"> 005</t>
  </si>
  <si>
    <t>Ежемесячное пособие на ребёнка</t>
  </si>
  <si>
    <t>505 30 00</t>
  </si>
  <si>
    <t>Обеспечение мер социальной поддержки ветеранов труда и труженников тыла</t>
  </si>
  <si>
    <t>505 31 00</t>
  </si>
  <si>
    <t xml:space="preserve">оплата жилищно-коммунальных услуг отдельными категориями грраждан </t>
  </si>
  <si>
    <t>505 46 00</t>
  </si>
  <si>
    <t>Обеспечение мер социальной поддержкиреабилитированных лиц и лиц, признанных пострадавшими от политических репрессий</t>
  </si>
  <si>
    <t>505 47 00</t>
  </si>
  <si>
    <t>514 01 00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</si>
  <si>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</si>
  <si>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</si>
  <si>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</si>
  <si>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</si>
  <si>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Дотации бюджетам субъектов Российской Федерации и муниципальных образований</t>
  </si>
  <si>
    <t>Фонд финансовой поддержки</t>
  </si>
  <si>
    <t>008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</si>
  <si>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</si>
  <si>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военные комиссариаты</t>
  </si>
  <si>
    <t>001 36 00</t>
  </si>
  <si>
    <t>Фонд компенсаций</t>
  </si>
  <si>
    <t>009</t>
  </si>
  <si>
    <t>Расходы на оплату ТЭР,услуг водоснабжения ,водоотведения и э/э, расходуемой на уличное освещение  за счет субсидии обл.бюджета</t>
  </si>
  <si>
    <t>905</t>
  </si>
  <si>
    <t>002 04 06</t>
  </si>
  <si>
    <t>Организация работы финансовых органов муниципального образования  за счет субсидии из областного бюджета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</si>
  <si>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</si>
  <si>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Предупреждение и ликвидация  последствий  чрезвычайных ситуаций и стихийных бедствий  природного и техногенного характерв</t>
  </si>
  <si>
    <t>421 9900</t>
  </si>
  <si>
    <t>Обеспечение деятельности школ-детских садов,школ начальных,неполных средних и средних за счет  субвенции местных бюджетов на обеспечение  государственных гарантий  прав граждан в сфере  образования</t>
  </si>
  <si>
    <t>Расходы на выплату библиотечным работникам  муниципальных учреждений  лечебного пособия  и ежемесячной надбавки к зароаботной плате  за выслугу лет за счет субсидии из областного бюджета</t>
  </si>
  <si>
    <t>906</t>
  </si>
  <si>
    <t>Ремонт и противопожарные мероприятия  в образовательных учреждениях  муниципальных образований  за счет субсидии  из областного бюджета</t>
  </si>
  <si>
    <t>901</t>
  </si>
  <si>
    <t>Школы-интернаты</t>
  </si>
  <si>
    <t>Социальная поддержка детей -сирот и детей,оставшихся без попечения родителей, находящихся  в муниципальных образовательных учреждениях для дете-сирот и детей, оставшихся без попечения родителей</t>
  </si>
  <si>
    <t>Ремонт и противопожарные мероприятия  в учреждениях культуры</t>
  </si>
  <si>
    <t>440 9900</t>
  </si>
  <si>
    <t>902</t>
  </si>
  <si>
    <t>Представление гражданам субсидий  на оплату жилого помещения  и коммунальных услуг</t>
  </si>
  <si>
    <t>795 0000</t>
  </si>
  <si>
    <t>Другие вопросы в области национальной экономики</t>
  </si>
  <si>
    <t>Мероприятия по землеустройству и землепользованию</t>
  </si>
  <si>
    <t>000 0000</t>
  </si>
  <si>
    <t>442 9900</t>
  </si>
  <si>
    <t>795 01 00</t>
  </si>
  <si>
    <t>Районная целевая программа реализации программы  "Развитие статистических информационных ресурсов Сосновского муниципального района на 2006-2010гг"</t>
  </si>
  <si>
    <t>Ежемесячное денежное вознаграждение  за классное руководство</t>
  </si>
  <si>
    <t>520 09 00</t>
  </si>
  <si>
    <t>Денежные выплаты  медицинскому персоналу фельдшерско-акушерских  пунктов,врачам,фельдшерам и медицинским сестрам скорой медицинской помощи</t>
  </si>
  <si>
    <t>520 18 00</t>
  </si>
  <si>
    <t xml:space="preserve">795 0000 </t>
  </si>
  <si>
    <t>516 01 01</t>
  </si>
  <si>
    <t>500</t>
  </si>
  <si>
    <t>002 11 00</t>
  </si>
  <si>
    <t>202 67 00</t>
  </si>
  <si>
    <t>202 76 00</t>
  </si>
  <si>
    <t>Пособия и компенсации военнослужащим,  приравненным к ним лицам, а также уволенным из их числа</t>
  </si>
  <si>
    <t>Функционирование органов в сфере национальной безопасности и правоохранительной деятельности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</si>
  <si>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</si>
  <si>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</si>
  <si>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</si>
  <si>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Расходы на оплату ТЭР,услуг водоснабжения,водоотведения и э/энергии, расходуемой на уличное освещение за счет субсидии областного бюджета</t>
  </si>
  <si>
    <t>Расходы на оплату ТЭР,услуг водоснабжения, водоотведения и э/энергии, расходуемой на уличное освещение за счет субсидии областного бюджета</t>
  </si>
  <si>
    <t>910</t>
  </si>
  <si>
    <t>организация воспитания и обучения детей-инвалидов на дому и в дошкольных учреждениях</t>
  </si>
  <si>
    <t xml:space="preserve">02 </t>
  </si>
  <si>
    <t>Субсидии бюджетам  на выплату библиотечнм работникам  лечебного пособия и за выслугу лет</t>
  </si>
  <si>
    <t>421 99 08</t>
  </si>
  <si>
    <t>обеспечение продуктами питания детей из малообеспеченных семей и детей с нарушенем здоровья,обучающихся в МОУ за счет субсидии областного бюджета</t>
  </si>
  <si>
    <t>421 99 53</t>
  </si>
  <si>
    <t>505 00 38</t>
  </si>
  <si>
    <t>Расходы за счет субвенции из областного бюджета на обеспечение мер  социальной поддержки граждан, работающих и пролживающих в сельской местности</t>
  </si>
  <si>
    <t>505 00 39</t>
  </si>
  <si>
    <t>Расходы за счет субвенции  из областного бюджета  на предоставление дополнительных мер  социальной поддержки отдельным категориям граждан</t>
  </si>
  <si>
    <t>505 00 42</t>
  </si>
  <si>
    <t>Расходы за счет субвенции  из областного бюджета  на выплату областного  единовременного пособия  при рождении ребенка</t>
  </si>
  <si>
    <t>505 22 05</t>
  </si>
  <si>
    <t xml:space="preserve">505 22 05 </t>
  </si>
  <si>
    <t>Расходы за счет субвенции  из областного бюджета  на выплату социального пособия  на погребение и оказание услуг по погребению, согласно гарантированному  перечню этих услуг за умерших,получивших пенсиюи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</si>
  <si>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</si>
  <si>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 xml:space="preserve">505 31 00 </t>
  </si>
  <si>
    <t>520 13 00</t>
  </si>
  <si>
    <t>Содержание ребенка в семье опекуна и приемной семье, а также оплата труда приемного родителя</t>
  </si>
  <si>
    <t>909</t>
  </si>
  <si>
    <t>Выплата денежных средств на реализацию права бесплатного проезда и содержание детей , находящихся под опекой (попечительством), а также на оплату труда приемного родителя</t>
  </si>
  <si>
    <t>002 04 34</t>
  </si>
  <si>
    <t>Расходы на обеспечение деятельности  по предоставлению гражданам субсидий</t>
  </si>
  <si>
    <t>Расходы за счет субвенции  из областного бюджета  на организацию и осуществление  деятельности  по опеке и попечительству</t>
  </si>
  <si>
    <t>002 04 44</t>
  </si>
  <si>
    <t>Председатель представительного органа муниципального образования</t>
  </si>
  <si>
    <t>002 04 40</t>
  </si>
  <si>
    <t>Организация комиссий  по делам  несовершеннолетних и защите их прав</t>
  </si>
  <si>
    <t>002 04 46</t>
  </si>
  <si>
    <t>Осуществление  органами  самоуправления  государственных полномочий в области  охраны окружающей среды</t>
  </si>
  <si>
    <t>002 04 52</t>
  </si>
  <si>
    <t>Расходы засчет субвенции  из областного бюджета  на комплектование ,учет и хранение  архивных документов , отнесенных к государственной  собственности Челябинской области</t>
  </si>
  <si>
    <t>002 04 54</t>
  </si>
  <si>
    <t>Расходы за счет субвенции из областного бюджета  на образование и организацию  деятельности административных комиссий</t>
  </si>
  <si>
    <t>Исполнено</t>
  </si>
  <si>
    <t xml:space="preserve">05 </t>
  </si>
  <si>
    <t>522 0000</t>
  </si>
  <si>
    <t>003</t>
  </si>
  <si>
    <t>600 0200</t>
  </si>
  <si>
    <t>600 0213</t>
  </si>
  <si>
    <t>102 0102</t>
  </si>
  <si>
    <t>100 1100</t>
  </si>
  <si>
    <t>021</t>
  </si>
  <si>
    <t>068</t>
  </si>
  <si>
    <t>502</t>
  </si>
  <si>
    <t>002 0407</t>
  </si>
  <si>
    <t>Финансирование расходов  на организацию транспортного обслуживания  населения  муниципальных образований  в части приобретения подвижного состава  за счет субсидии из областного  бюджета</t>
  </si>
  <si>
    <t xml:space="preserve">000 </t>
  </si>
  <si>
    <t>Дорожное хозяйство</t>
  </si>
  <si>
    <t>Жилищно-коммунальное хозяйство</t>
  </si>
  <si>
    <t>Жилищное хозяйство</t>
  </si>
  <si>
    <t>Мероприятия в области жилищного хозяйства</t>
  </si>
  <si>
    <t>Региональные целевые программы</t>
  </si>
  <si>
    <t>Бюджетные инвестиции</t>
  </si>
  <si>
    <t>Областная целевая программа реализации национального проекта"Образование"</t>
  </si>
  <si>
    <t>Целевые программы муниципального образования</t>
  </si>
  <si>
    <t>Коммунальное хозяйство</t>
  </si>
  <si>
    <t>Мероприятия в области коммунального хозяйства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</si>
  <si>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</si>
  <si>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</si>
  <si>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Внедрение и содержание тех.средств организации регулирования дорожного движения</t>
  </si>
  <si>
    <t>Другие вопросы в области жилищно-коммунального хозяйства</t>
  </si>
  <si>
    <t>Бюджетные инвестиции в объекты капитального строительства  собственности муниципальных образований</t>
  </si>
  <si>
    <t>520 0000</t>
  </si>
  <si>
    <t>Иные безвозмездные и безвозвратные перечисления</t>
  </si>
  <si>
    <t xml:space="preserve">520 0000 </t>
  </si>
  <si>
    <t xml:space="preserve">522 0000 </t>
  </si>
  <si>
    <t>Развитие социальной и инженерной инфраструктуры субъектов Российской Федерации и муниципальных образований</t>
  </si>
  <si>
    <t>Ремонт и противопожарные мероприятия в образовательных учреждениях МО за счёт субсидии областного бюджета</t>
  </si>
  <si>
    <t>Расходы на выплату библиотечным работникам  муниципальных учреждений  лечебного пособия  и ежемесячной надбавки к заработной плате  за выслугу лет за счет субсидии из областного бюджета</t>
  </si>
  <si>
    <t>Областная целевая программа "Развитите дошкольного образования"</t>
  </si>
  <si>
    <t>Мероприятия в области здравоохранения, спорта и физической культуры, туризма</t>
  </si>
  <si>
    <t>Федеральная целевая программа "Социальное развитие села до 2010 года"</t>
  </si>
  <si>
    <t>Субсидии на обеспечение жильем молодых семей и молодых специалистов, проживающих и работающих в сельской местности</t>
  </si>
  <si>
    <t>Мероприятия в области социальной политики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</si>
  <si>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</si>
  <si>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</si>
  <si>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007</t>
  </si>
  <si>
    <t>Дотация бюджетам поселений на поддержку мер по обеспечению сбалансированности бюджетов</t>
  </si>
  <si>
    <t>Прочие дотации</t>
  </si>
  <si>
    <t>517 0200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</si>
  <si>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</si>
  <si>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102 01 02</t>
  </si>
  <si>
    <t>Субсидии бюджетам субъектов Российской Федерации и муниципальных образований (межбюджетные субсидии)</t>
  </si>
  <si>
    <t>Приложение  4                                                  к решению Собрания депутатов Сосновского муниципального района                                                        от _________ 2008 г.№_______</t>
  </si>
  <si>
    <t>( руб.)</t>
  </si>
  <si>
    <t>505 48 00</t>
  </si>
  <si>
    <t>522 00 00</t>
  </si>
  <si>
    <t>522 15 00</t>
  </si>
  <si>
    <t>522 17 00</t>
  </si>
  <si>
    <t>410 00 00</t>
  </si>
  <si>
    <t>Распределение бюджетных ассигнований  по разделам, подразделам, целевым статьям, видам расходов классификации расходов бюджета</t>
  </si>
  <si>
    <t>002 04 09</t>
  </si>
  <si>
    <t>092 03 00</t>
  </si>
  <si>
    <t>Выполнение других обязательств государства</t>
  </si>
  <si>
    <t>202 71 00</t>
  </si>
  <si>
    <t>Продовольственное обеспечение</t>
  </si>
  <si>
    <t>247 99 00</t>
  </si>
  <si>
    <t>303 02 00</t>
  </si>
  <si>
    <t>Отдельные меропрриятия в области  автомобильного транспорта</t>
  </si>
  <si>
    <t>315 02 03</t>
  </si>
  <si>
    <t>915</t>
  </si>
  <si>
    <t>Содердание и ремонт дорог общего пользования  местного значения, за исключением  автомобильных дорог общегоь пользования федерального и регионального значения</t>
  </si>
  <si>
    <t>340 03 00</t>
  </si>
  <si>
    <t>522 14 01</t>
  </si>
  <si>
    <t>Региональные целевые программы(реконструкция  сооруж. хоз.-бытовой канализ. на ст.Полетаево)</t>
  </si>
  <si>
    <t>422 99 00</t>
  </si>
  <si>
    <t xml:space="preserve"> 000</t>
  </si>
  <si>
    <t xml:space="preserve">522 00 00 </t>
  </si>
  <si>
    <t>903</t>
  </si>
  <si>
    <t xml:space="preserve">470 99 00 </t>
  </si>
  <si>
    <t>Скорая медицинская помощь</t>
  </si>
  <si>
    <t>512 97 00</t>
  </si>
  <si>
    <t>505 00 63</t>
  </si>
  <si>
    <t>расходы за счет субвенции  из обл.бюджета  на обеспечение мер  соц.поддержки граждан имеющих звание "Ветеран труда Челябинской области"</t>
  </si>
  <si>
    <t>Расходы за счет субвенции из областного бюджета  на обеспечение детей-сирот жилой площадью</t>
  </si>
  <si>
    <t>505 36 94</t>
  </si>
  <si>
    <t>013</t>
  </si>
  <si>
    <t>516 01 31</t>
  </si>
  <si>
    <t>Дотации на выравнивание бюджетной обеспеченности поселений из областного фонда финансовой поддержки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</si>
  <si>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</si>
  <si>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 xml:space="preserve">516 01 32 </t>
  </si>
  <si>
    <t>516 01 32</t>
  </si>
  <si>
    <t>Дотации на выравнивание бюджетной обеспеченности поселений из районного фонда финансовой поддержки (за счет собственных доходов бюджетов муниципальных районов)</t>
  </si>
  <si>
    <t>098 02 01</t>
  </si>
  <si>
    <t>Обеспечение мероприятий по капитальному ремонту многоквартирных домов за счет средств бюджетов</t>
  </si>
  <si>
    <t>521 00 00</t>
  </si>
  <si>
    <t>Содержание автомобильных дорог общего пользования</t>
  </si>
  <si>
    <t>Охрана объектов растительного и животного мира и среды их обитания</t>
  </si>
  <si>
    <t>Природоохранные мероприятия</t>
  </si>
  <si>
    <t>098 01 01</t>
  </si>
  <si>
    <t>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ЖКХ</t>
  </si>
  <si>
    <t>102 02 02</t>
  </si>
  <si>
    <t>Строительство федеральных центров высоких медицинских технологий, осуществляемое в рамках национального проекта</t>
  </si>
  <si>
    <t>522 19 00</t>
  </si>
  <si>
    <t>Областная целевая программа"Доступное и комфортное жилье- гражданам России" в Челябинской области на 2008-2010 годы</t>
  </si>
  <si>
    <t>4361100</t>
  </si>
  <si>
    <t>908</t>
  </si>
  <si>
    <t>Выплаты грантов ОУ, активно внедряющим инновационные программы</t>
  </si>
  <si>
    <t>Поощрение лучших учителей</t>
  </si>
  <si>
    <t>450 06 00</t>
  </si>
  <si>
    <t>Комплектование книжных фондов библиотек муниципальных образований</t>
  </si>
  <si>
    <t>327</t>
  </si>
  <si>
    <t>523 01 00</t>
  </si>
  <si>
    <t>Больницы, клиники, госпитали, медико-санитарные части</t>
  </si>
  <si>
    <t>0010000</t>
  </si>
  <si>
    <t>Руководство и управление в сфере установленных функций</t>
  </si>
  <si>
    <t>350 03 00</t>
  </si>
  <si>
    <t>351 05 00</t>
  </si>
  <si>
    <t>522 20 00</t>
  </si>
  <si>
    <t>организация воспитания и обучения детей-инвалидов на дому и в школьных учреждениях</t>
  </si>
  <si>
    <t xml:space="preserve">                               за 1 квартал 2009 года</t>
  </si>
  <si>
    <t>202 71 02</t>
  </si>
  <si>
    <t>202 72 01</t>
  </si>
  <si>
    <t>218 01 00</t>
  </si>
  <si>
    <t>522 16 01</t>
  </si>
  <si>
    <t>470 01 00</t>
  </si>
  <si>
    <t>План 2009 год</t>
  </si>
  <si>
    <t>План 2011 год</t>
  </si>
  <si>
    <t>План 2010 год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</si>
  <si>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</si>
  <si>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</si>
  <si>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Подпроограмма "Дети-сироты" (областной целевой программы "Дети Южного Урала" на 2006-2010 г.г.)</t>
  </si>
  <si>
    <t>Выполнение функций  бюджетными учреждениями</t>
  </si>
  <si>
    <t>Прочие расходы</t>
  </si>
  <si>
    <t>Федеральная целевая программа "Социальное развитие села до 2012"</t>
  </si>
  <si>
    <t>Прочие субсидии бюджетам поселений</t>
  </si>
  <si>
    <t>002 04 58</t>
  </si>
  <si>
    <t>002 04 78</t>
  </si>
  <si>
    <t>002 04 86</t>
  </si>
  <si>
    <t>002 04 60</t>
  </si>
  <si>
    <t>002 04 07</t>
  </si>
  <si>
    <t>002 04 57</t>
  </si>
  <si>
    <t>600 02 66</t>
  </si>
  <si>
    <t>522 25 01</t>
  </si>
  <si>
    <t>420 99 62</t>
  </si>
  <si>
    <t>420 99 67</t>
  </si>
  <si>
    <t>420 99 68</t>
  </si>
  <si>
    <t>421 99 59</t>
  </si>
  <si>
    <t>421 99 68</t>
  </si>
  <si>
    <t>421 99 70</t>
  </si>
  <si>
    <t>421 99 88</t>
  </si>
  <si>
    <t>422 99 70</t>
  </si>
  <si>
    <t>422 99 75</t>
  </si>
  <si>
    <t>423 99 68</t>
  </si>
  <si>
    <t>452 99 68</t>
  </si>
  <si>
    <t>440 99 68</t>
  </si>
  <si>
    <t>442 99 68</t>
  </si>
  <si>
    <t>442 99 70</t>
  </si>
  <si>
    <t>470 99 62</t>
  </si>
  <si>
    <t>470 99 68</t>
  </si>
  <si>
    <t>478 98 00</t>
  </si>
  <si>
    <t>471 99 68</t>
  </si>
  <si>
    <t>478 99 68</t>
  </si>
  <si>
    <t>079</t>
  </si>
  <si>
    <t>508 99 80</t>
  </si>
  <si>
    <t>505 00 31</t>
  </si>
  <si>
    <t>505 00 32</t>
  </si>
  <si>
    <t>505 00 53</t>
  </si>
  <si>
    <t>505 00 54</t>
  </si>
  <si>
    <t>505 00 72</t>
  </si>
  <si>
    <t>505 55 10</t>
  </si>
  <si>
    <t>505 55 23</t>
  </si>
  <si>
    <t>505 55 24</t>
  </si>
  <si>
    <t>505 55 33</t>
  </si>
  <si>
    <t>505 55 34</t>
  </si>
  <si>
    <t>520 10 41</t>
  </si>
  <si>
    <t>520 13 11</t>
  </si>
  <si>
    <t>520 13 12</t>
  </si>
  <si>
    <t>520 13 20</t>
  </si>
  <si>
    <t>002 04 74</t>
  </si>
  <si>
    <t>517 02 00</t>
  </si>
  <si>
    <t>017</t>
  </si>
  <si>
    <t>521 01 00</t>
  </si>
  <si>
    <t>Субсидия  на организацию работы  органов управления  социальной защиты населения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</si>
  <si>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</si>
  <si>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Организация работы финансовых органов  муниципальных образований  за счет субсидии областного бюджета</t>
  </si>
  <si>
    <t>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жкх</t>
  </si>
  <si>
    <t>Обеспечение  выполнения работ по внедрению и содержанию технических средств, организации и регулирования дорожного движения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</si>
  <si>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</si>
  <si>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Состояние окружающей среды и природопользования</t>
  </si>
  <si>
    <t>Региональные целевые программы(реконструкция  сооруж. хоз.-бытовой канализ. на ст.Полетаево -)</t>
  </si>
  <si>
    <t>Ремонт и противопожарные мероприятия  в учреждениях культуры из областного бюджета</t>
  </si>
  <si>
    <t>Обеспечение продуктами питания учреждений социальной сферы из областного фонад продовольствия</t>
  </si>
  <si>
    <t>Субвенция на организацию воспитания и обучения детей -инвалидов на дому и дошкольных учреждениях</t>
  </si>
  <si>
    <t>Субсидия бюджетам на финансирование  расходов на оплату топливно -энергетических ресурсов, услуг водоснабжения , водоотведения ,потребляемых муниципльными учреждениями и электрической энергии, расходуемой на уличное освещение</t>
  </si>
  <si>
    <t>Выплата  библиотечным работникам  лечебного пособия  и ежемесячной  надбавки  к заработной плате  за выслугу лет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</si>
  <si>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</si>
  <si>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</si>
  <si>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Ежемесячное денежное вознаграждение за классное руководство</t>
  </si>
  <si>
    <t>Денежные выплаты врачам и медицинским сестрам, оказывающим первичную медико-санитарную помощь в федеральных учреждениях здравоохранения ведомственного подчинения, выполняющих государственное задание по оказанию дополнительной бесплатной медицинской помощи, при условии размещения в этих медицинских учреждениях муниципального заказа</t>
  </si>
  <si>
    <t>Ремонт и противопожарные мероприятия  в учреждениях здравоохранения муниципальных образований  за счет субсидии из областного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</si>
  <si>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</si>
  <si>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гос.служащих субъектов РФ  и муниципальных служащих</t>
  </si>
  <si>
    <t>Обеспечение деятельности  подведомственных учреждений</t>
  </si>
  <si>
    <t>Субвенции  по социальному обслуживанию населения</t>
  </si>
  <si>
    <t>расходы за счет субвенции из областного бюджета на ежеквартальные выплаты на оплату проезда(закон ЧО "Ветеран труда ЧО")</t>
  </si>
  <si>
    <t>расходы за счет субвенции из областного бюджета на другие меры социальной поддержки граждан , имеющих звание "Ветеран труда ЧО"</t>
  </si>
  <si>
    <t>Расходы за счет субвенции из областного бюджета на обеспечение мер  социальной поддержки граждан, работающих и проживающих в сельской местности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</si>
  <si>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</si>
  <si>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</si>
  <si>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 ( областной бюджет)</t>
  </si>
  <si>
    <t>Ежеквартальные денежные выплаты на оплату проезда ветеранов труда в ЧО</t>
  </si>
  <si>
    <t>Другие меры социальной поддержки ветеранов труда и труженников тыла</t>
  </si>
  <si>
    <t>Ежеквартальные денежные выплаты на проезда жертв политических репрессий в ЧО</t>
  </si>
  <si>
    <t>Другие меры социальной поддержки реабилитированных лиц и лиц, признанных пострадавшими от полититческих репрессий</t>
  </si>
  <si>
    <t>расходы за счет субвенции из областного бюджета на выплаты приемной семье на содержание подопечных детей</t>
  </si>
  <si>
    <t>Расходы за счет субвенции из областного бюджета на оплату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</si>
  <si>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</si>
  <si>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</si>
  <si>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</si>
  <si>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Иные межбюджетные трансферты в форме субсидий за счет собственных доходов муниципальных районов</t>
  </si>
  <si>
    <t>Прочие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</si>
  <si>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</si>
  <si>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за 6 месяцев 2009 года</t>
  </si>
  <si>
    <t xml:space="preserve">Организация  работы органов  управления сельского хозяйства муниципальных образований </t>
  </si>
  <si>
    <t>Приложение  4                                                  к решению Собрания депутатов Сосновского муниципального района                                                        от _________ 2009 г.№_______</t>
  </si>
  <si>
    <t xml:space="preserve">                               за 9 месяцев 2009 года</t>
  </si>
  <si>
    <t>070 04 00</t>
  </si>
  <si>
    <t>340 07 02</t>
  </si>
  <si>
    <t>600 02 00</t>
  </si>
  <si>
    <t>522 25 03</t>
  </si>
  <si>
    <t>423 99 71</t>
  </si>
  <si>
    <t>442 99 71</t>
  </si>
  <si>
    <t>505 45 00</t>
  </si>
  <si>
    <t>514 00 00</t>
  </si>
  <si>
    <t>483</t>
  </si>
  <si>
    <t>Резервные фонды иполнительных органов государственной власти субъектов Российской Федерации</t>
  </si>
  <si>
    <t>Закупка автотранспортных средств и коммунальной техники</t>
  </si>
  <si>
    <t>Газоснабжение жилых домов с.Вознесенка (1 очередь)</t>
  </si>
  <si>
    <t>Субсидия на проведение ремонтных работ, строительных работ и работ по благоустройству с привлечением студенческих отрядов</t>
  </si>
  <si>
    <t>Расходы на оказание социальной помощи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</si>
  <si>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</si>
  <si>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Обеспечение мер социальной поддержки реабилитированных лиц и лиц, признанных пострадавшими от политических репрессий</t>
  </si>
  <si>
    <t>Реализация государственных функций в области социальной политики</t>
  </si>
  <si>
    <t>Приложение  4                                                  к решению Собрания депутатов Сосновского муниципального района                                                        от _________ 200_ г.№_______</t>
  </si>
  <si>
    <t>Прочие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</si>
  <si>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                           на 1.11.2009 г.</t>
  </si>
  <si>
    <t>501</t>
  </si>
  <si>
    <t>Дотации на выравнивание уровня бюджетной обеспеченности</t>
  </si>
  <si>
    <t>Подпрограмма "Обеспечение жильем молодых семей"</t>
  </si>
  <si>
    <t>104 02 00</t>
  </si>
  <si>
    <t>002 04 68</t>
  </si>
  <si>
    <t xml:space="preserve">                               за 2009 года</t>
  </si>
  <si>
    <t>002 25 00</t>
  </si>
  <si>
    <t>522 12 00</t>
  </si>
  <si>
    <t>522 17 02</t>
  </si>
  <si>
    <t>Руководитель контрольно-счетной палаты</t>
  </si>
  <si>
    <t>областная целевая "Программа профилактики преступлений и иных правонарушений в Челябинской области на 2009-2011 г.г."</t>
  </si>
  <si>
    <t>Выплата денежного поощрения лучшим учителям-победителям конкурсного отбора</t>
  </si>
  <si>
    <t xml:space="preserve"> </t>
  </si>
  <si>
    <t>Газоснабжение жилых домов в п. Полевой</t>
  </si>
  <si>
    <t>Ремонт и противопожарные мероприятия  в образовательных  учреждениях  из областного бюджета</t>
  </si>
  <si>
    <t>Приложение  № 4   к решению Собрания депутатов Сосновского муниципального района  "Об исполнении бюджета Сосновского муниципального района за 2009г"                                                      от _________ 20__ г.№_______</t>
  </si>
  <si>
    <t>Расходы за счет субвенции из областного бюджета на ежеквартальные выплаты на оплату проезда(закон ЧО "Ветеран труда ЧО")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</si>
</sst>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2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1" fillId="19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17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4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5" borderId="10" xfId="0" applyNumberFormat="1" applyFont="1" applyFill="1" applyBorder="1" applyAlignment="1">
      <alignment horizontal="center" vertical="center"/>
    </xf>
    <xf numFmtId="4" fontId="1" fillId="17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" fontId="3" fillId="19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1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17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20" borderId="0" xfId="4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74609375" style="0" customWidth="1"/>
    <col min="2" max="2" width="29.625" style="0" customWidth="1"/>
    <col min="3" max="3" width="7.625" style="0" customWidth="1"/>
    <col min="4" max="4" width="6.875" style="0" customWidth="1"/>
    <col min="5" max="5" width="9.875" style="0" customWidth="1"/>
    <col min="6" max="6" width="6.00390625" style="0" customWidth="1"/>
    <col min="7" max="9" width="17.75390625" style="0" customWidth="1"/>
    <col min="10" max="10" width="15.75390625" style="0" customWidth="1"/>
    <col min="12" max="12" width="13.875" style="0" customWidth="1"/>
    <col min="13" max="13" width="12.875" style="0" customWidth="1"/>
  </cols>
  <sheetData>
    <row r="1" spans="5:7" ht="25.5" customHeight="1">
      <c r="E1" s="134" t="s">
        <v>250</v>
      </c>
      <c r="F1" s="135"/>
      <c r="G1" s="135"/>
    </row>
    <row r="2" spans="5:7" ht="30" customHeight="1">
      <c r="E2" s="135"/>
      <c r="F2" s="135"/>
      <c r="G2" s="135"/>
    </row>
    <row r="3" spans="5:7" ht="6.75" customHeight="1">
      <c r="E3" s="135"/>
      <c r="F3" s="135"/>
      <c r="G3" s="135"/>
    </row>
    <row r="4" spans="1:7" ht="28.5" customHeight="1">
      <c r="A4" s="139" t="s">
        <v>257</v>
      </c>
      <c r="B4" s="139"/>
      <c r="C4" s="139"/>
      <c r="D4" s="139"/>
      <c r="E4" s="139"/>
      <c r="F4" s="139"/>
      <c r="G4" s="139"/>
    </row>
    <row r="5" spans="1:10" ht="16.5" customHeight="1">
      <c r="A5" s="12"/>
      <c r="B5" s="136" t="s">
        <v>317</v>
      </c>
      <c r="C5" s="136"/>
      <c r="D5" s="136"/>
      <c r="E5" s="136"/>
      <c r="F5" s="137" t="s">
        <v>251</v>
      </c>
      <c r="G5" s="138"/>
      <c r="J5" s="50"/>
    </row>
    <row r="6" spans="2:12" ht="12.75" customHeight="1">
      <c r="B6" s="140" t="s">
        <v>0</v>
      </c>
      <c r="C6" s="140" t="s">
        <v>1</v>
      </c>
      <c r="D6" s="140"/>
      <c r="E6" s="140"/>
      <c r="F6" s="140"/>
      <c r="G6" s="132" t="s">
        <v>323</v>
      </c>
      <c r="H6" s="132" t="s">
        <v>325</v>
      </c>
      <c r="I6" s="132" t="s">
        <v>324</v>
      </c>
      <c r="J6" s="132" t="s">
        <v>200</v>
      </c>
      <c r="K6" s="35"/>
      <c r="L6" s="133"/>
    </row>
    <row r="7" spans="2:12" ht="38.25">
      <c r="B7" s="140"/>
      <c r="C7" s="2" t="s">
        <v>4</v>
      </c>
      <c r="D7" s="3" t="s">
        <v>5</v>
      </c>
      <c r="E7" s="3" t="s">
        <v>6</v>
      </c>
      <c r="F7" s="3" t="s">
        <v>7</v>
      </c>
      <c r="G7" s="132"/>
      <c r="H7" s="132"/>
      <c r="I7" s="132"/>
      <c r="J7" s="132"/>
      <c r="K7" s="35"/>
      <c r="L7" s="133"/>
    </row>
    <row r="8" spans="2:12" ht="15">
      <c r="B8" s="5" t="s">
        <v>2</v>
      </c>
      <c r="C8" s="1"/>
      <c r="D8" s="1"/>
      <c r="E8" s="1"/>
      <c r="F8" s="1"/>
      <c r="G8" s="26"/>
      <c r="H8" s="26"/>
      <c r="I8" s="26"/>
      <c r="J8" s="26"/>
      <c r="K8" s="36"/>
      <c r="L8" s="37"/>
    </row>
    <row r="9" spans="2:12" ht="12.75">
      <c r="B9" s="5" t="s">
        <v>3</v>
      </c>
      <c r="C9" s="9" t="s">
        <v>9</v>
      </c>
      <c r="D9" s="9" t="s">
        <v>10</v>
      </c>
      <c r="E9" s="9" t="s">
        <v>8</v>
      </c>
      <c r="F9" s="9" t="s">
        <v>11</v>
      </c>
      <c r="G9" s="20">
        <f>G10+G14+G19+G32+G35+G38</f>
        <v>43186891.78</v>
      </c>
      <c r="H9" s="20">
        <f>H10+H14+H19+H32+H35+H38</f>
        <v>46724600</v>
      </c>
      <c r="I9" s="20">
        <f>I10+I14+I19+I32+I35+I38</f>
        <v>49453490</v>
      </c>
      <c r="J9" s="20">
        <f>J10+J14+J19+J32+J35+J38</f>
        <v>8588637.170000002</v>
      </c>
      <c r="K9" s="38"/>
      <c r="L9" s="39"/>
    </row>
    <row r="10" spans="2:12" ht="45">
      <c r="B10" s="6" t="s">
        <v>12</v>
      </c>
      <c r="C10" s="10" t="s">
        <v>9</v>
      </c>
      <c r="D10" s="10" t="s">
        <v>13</v>
      </c>
      <c r="E10" s="10" t="s">
        <v>8</v>
      </c>
      <c r="F10" s="10" t="s">
        <v>11</v>
      </c>
      <c r="G10" s="21">
        <f aca="true" t="shared" si="0" ref="G10:I12">G11</f>
        <v>1520000</v>
      </c>
      <c r="H10" s="21">
        <f t="shared" si="0"/>
        <v>1740000</v>
      </c>
      <c r="I10" s="21">
        <f t="shared" si="0"/>
        <v>2020000</v>
      </c>
      <c r="J10" s="21">
        <f>J11</f>
        <v>91261.27</v>
      </c>
      <c r="K10" s="40"/>
      <c r="L10" s="34"/>
    </row>
    <row r="11" spans="2:12" ht="56.25">
      <c r="B11" s="4" t="s">
        <v>14</v>
      </c>
      <c r="C11" s="11" t="s">
        <v>9</v>
      </c>
      <c r="D11" s="11" t="s">
        <v>13</v>
      </c>
      <c r="E11" s="11" t="s">
        <v>15</v>
      </c>
      <c r="F11" s="11" t="s">
        <v>11</v>
      </c>
      <c r="G11" s="19">
        <f t="shared" si="0"/>
        <v>1520000</v>
      </c>
      <c r="H11" s="19">
        <f t="shared" si="0"/>
        <v>1740000</v>
      </c>
      <c r="I11" s="19">
        <f t="shared" si="0"/>
        <v>2020000</v>
      </c>
      <c r="J11" s="19">
        <f>J12</f>
        <v>91261.27</v>
      </c>
      <c r="K11" s="41"/>
      <c r="L11" s="31"/>
    </row>
    <row r="12" spans="2:12" ht="12.75">
      <c r="B12" s="4" t="s">
        <v>16</v>
      </c>
      <c r="C12" s="11" t="s">
        <v>9</v>
      </c>
      <c r="D12" s="11" t="s">
        <v>13</v>
      </c>
      <c r="E12" s="11" t="s">
        <v>17</v>
      </c>
      <c r="F12" s="11" t="s">
        <v>11</v>
      </c>
      <c r="G12" s="19">
        <f t="shared" si="0"/>
        <v>1520000</v>
      </c>
      <c r="H12" s="19">
        <f t="shared" si="0"/>
        <v>1740000</v>
      </c>
      <c r="I12" s="19">
        <f t="shared" si="0"/>
        <v>2020000</v>
      </c>
      <c r="J12" s="19">
        <f>J13</f>
        <v>91261.27</v>
      </c>
      <c r="K12" s="41"/>
      <c r="L12" s="31"/>
    </row>
    <row r="13" spans="2:12" ht="22.5">
      <c r="B13" s="4" t="s">
        <v>18</v>
      </c>
      <c r="C13" s="11" t="s">
        <v>9</v>
      </c>
      <c r="D13" s="11" t="s">
        <v>13</v>
      </c>
      <c r="E13" s="11" t="s">
        <v>17</v>
      </c>
      <c r="F13" s="11" t="s">
        <v>154</v>
      </c>
      <c r="G13" s="19">
        <v>1520000</v>
      </c>
      <c r="H13" s="19">
        <v>1740000</v>
      </c>
      <c r="I13" s="19">
        <v>2020000</v>
      </c>
      <c r="J13" s="19">
        <v>91261.27</v>
      </c>
      <c r="K13" s="41"/>
      <c r="L13" s="31"/>
    </row>
    <row r="14" spans="2:12" ht="54.75" customHeight="1">
      <c r="B14" s="6" t="s">
        <v>247</v>
      </c>
      <c r="C14" s="10" t="s">
        <v>9</v>
      </c>
      <c r="D14" s="10" t="s">
        <v>19</v>
      </c>
      <c r="E14" s="10" t="s">
        <v>8</v>
      </c>
      <c r="F14" s="10" t="s">
        <v>11</v>
      </c>
      <c r="G14" s="21">
        <f>G15+G17</f>
        <v>3506990</v>
      </c>
      <c r="H14" s="21">
        <f>H15+H17</f>
        <v>3903700</v>
      </c>
      <c r="I14" s="21">
        <f>I15+I17</f>
        <v>4081420</v>
      </c>
      <c r="J14" s="21">
        <f>J15+J17</f>
        <v>607429.1000000001</v>
      </c>
      <c r="K14" s="40"/>
      <c r="L14" s="34"/>
    </row>
    <row r="15" spans="2:12" ht="12.75">
      <c r="B15" s="4" t="s">
        <v>20</v>
      </c>
      <c r="C15" s="11" t="s">
        <v>9</v>
      </c>
      <c r="D15" s="11" t="s">
        <v>19</v>
      </c>
      <c r="E15" s="11" t="s">
        <v>21</v>
      </c>
      <c r="F15" s="11" t="s">
        <v>11</v>
      </c>
      <c r="G15" s="19">
        <f>G16</f>
        <v>2669790</v>
      </c>
      <c r="H15" s="19">
        <f>H16</f>
        <v>2898700</v>
      </c>
      <c r="I15" s="19">
        <f>I16</f>
        <v>2875850</v>
      </c>
      <c r="J15" s="19">
        <f>J16</f>
        <v>447920.9</v>
      </c>
      <c r="K15" s="41"/>
      <c r="L15" s="31"/>
    </row>
    <row r="16" spans="2:12" ht="22.5">
      <c r="B16" s="4" t="s">
        <v>18</v>
      </c>
      <c r="C16" s="11" t="s">
        <v>22</v>
      </c>
      <c r="D16" s="11" t="s">
        <v>19</v>
      </c>
      <c r="E16" s="11" t="s">
        <v>21</v>
      </c>
      <c r="F16" s="11" t="s">
        <v>154</v>
      </c>
      <c r="G16" s="19">
        <v>2669790</v>
      </c>
      <c r="H16" s="19">
        <v>2898700</v>
      </c>
      <c r="I16" s="19">
        <v>2875850</v>
      </c>
      <c r="J16" s="19">
        <f>293945.84+2571.45+65360+17936.25+6328+23643.1+11031+27105.26</f>
        <v>447920.9</v>
      </c>
      <c r="K16" s="41"/>
      <c r="L16" s="31"/>
    </row>
    <row r="17" spans="2:12" ht="22.5">
      <c r="B17" s="4" t="s">
        <v>23</v>
      </c>
      <c r="C17" s="11" t="s">
        <v>9</v>
      </c>
      <c r="D17" s="11" t="s">
        <v>19</v>
      </c>
      <c r="E17" s="11" t="s">
        <v>155</v>
      </c>
      <c r="F17" s="11" t="s">
        <v>11</v>
      </c>
      <c r="G17" s="19">
        <f>G18</f>
        <v>837200</v>
      </c>
      <c r="H17" s="19">
        <f>H18</f>
        <v>1005000</v>
      </c>
      <c r="I17" s="19">
        <f>I18</f>
        <v>1205570</v>
      </c>
      <c r="J17" s="19">
        <f>J18</f>
        <v>159508.2</v>
      </c>
      <c r="K17" s="41"/>
      <c r="L17" s="31"/>
    </row>
    <row r="18" spans="2:12" ht="26.25" customHeight="1">
      <c r="B18" s="4" t="s">
        <v>191</v>
      </c>
      <c r="C18" s="11" t="s">
        <v>9</v>
      </c>
      <c r="D18" s="11" t="s">
        <v>19</v>
      </c>
      <c r="E18" s="11" t="s">
        <v>155</v>
      </c>
      <c r="F18" s="11" t="s">
        <v>154</v>
      </c>
      <c r="G18" s="19">
        <v>837200</v>
      </c>
      <c r="H18" s="19">
        <v>1005000</v>
      </c>
      <c r="I18" s="19">
        <v>1205570</v>
      </c>
      <c r="J18" s="19">
        <f>131021.2+28487</f>
        <v>159508.2</v>
      </c>
      <c r="K18" s="41"/>
      <c r="L18" s="31"/>
    </row>
    <row r="19" spans="2:12" ht="54" customHeight="1">
      <c r="B19" s="6" t="s">
        <v>24</v>
      </c>
      <c r="C19" s="10" t="s">
        <v>22</v>
      </c>
      <c r="D19" s="10" t="s">
        <v>25</v>
      </c>
      <c r="E19" s="10" t="s">
        <v>8</v>
      </c>
      <c r="F19" s="10" t="s">
        <v>11</v>
      </c>
      <c r="G19" s="21">
        <f>G20+G22+G24+G26+G30+G28</f>
        <v>26419003.03</v>
      </c>
      <c r="H19" s="21">
        <f>H20+H22+H24+H26+H30+H28</f>
        <v>28911800</v>
      </c>
      <c r="I19" s="21">
        <f>I20+I22+I24+I26+I30+I28</f>
        <v>30896570</v>
      </c>
      <c r="J19" s="21">
        <f>J20+J22+J24+J26+J30+J28</f>
        <v>5887691.000000001</v>
      </c>
      <c r="K19" s="40"/>
      <c r="L19" s="34"/>
    </row>
    <row r="20" spans="2:12" ht="56.25">
      <c r="B20" s="4" t="s">
        <v>14</v>
      </c>
      <c r="C20" s="11" t="s">
        <v>9</v>
      </c>
      <c r="D20" s="11" t="s">
        <v>25</v>
      </c>
      <c r="E20" s="11" t="s">
        <v>21</v>
      </c>
      <c r="F20" s="11" t="s">
        <v>11</v>
      </c>
      <c r="G20" s="19">
        <f>G21</f>
        <v>25282003.03</v>
      </c>
      <c r="H20" s="19">
        <f>H21</f>
        <v>27642500</v>
      </c>
      <c r="I20" s="19">
        <f>I21</f>
        <v>29476070</v>
      </c>
      <c r="J20" s="19">
        <f>J21</f>
        <v>5597501.2</v>
      </c>
      <c r="K20" s="41"/>
      <c r="L20" s="31"/>
    </row>
    <row r="21" spans="2:12" ht="22.5">
      <c r="B21" s="4" t="s">
        <v>18</v>
      </c>
      <c r="C21" s="11" t="s">
        <v>9</v>
      </c>
      <c r="D21" s="11" t="s">
        <v>25</v>
      </c>
      <c r="E21" s="11" t="s">
        <v>21</v>
      </c>
      <c r="F21" s="11" t="s">
        <v>154</v>
      </c>
      <c r="G21" s="19">
        <v>25282003.03</v>
      </c>
      <c r="H21" s="19">
        <v>27642500</v>
      </c>
      <c r="I21" s="19">
        <v>29476070</v>
      </c>
      <c r="J21" s="19">
        <f>2759039.36+714677.96+248711.19+21426.06+218973.19+651035.79+615811.15+367826.5</f>
        <v>5597501.2</v>
      </c>
      <c r="K21" s="41"/>
      <c r="L21" s="31"/>
    </row>
    <row r="22" spans="2:12" ht="56.25">
      <c r="B22" s="4" t="s">
        <v>14</v>
      </c>
      <c r="C22" s="11" t="s">
        <v>9</v>
      </c>
      <c r="D22" s="11" t="s">
        <v>25</v>
      </c>
      <c r="E22" s="11" t="s">
        <v>21</v>
      </c>
      <c r="F22" s="11" t="s">
        <v>11</v>
      </c>
      <c r="G22" s="19">
        <f>G23</f>
        <v>622600</v>
      </c>
      <c r="H22" s="19">
        <f>H23</f>
        <v>747200</v>
      </c>
      <c r="I22" s="19">
        <f>I23</f>
        <v>889000</v>
      </c>
      <c r="J22" s="19">
        <f>J23</f>
        <v>162374.16</v>
      </c>
      <c r="K22" s="41"/>
      <c r="L22" s="31"/>
    </row>
    <row r="23" spans="2:12" ht="45.75" customHeight="1">
      <c r="B23" s="4" t="s">
        <v>163</v>
      </c>
      <c r="C23" s="11" t="s">
        <v>9</v>
      </c>
      <c r="D23" s="11" t="s">
        <v>25</v>
      </c>
      <c r="E23" s="11" t="s">
        <v>21</v>
      </c>
      <c r="F23" s="13" t="s">
        <v>124</v>
      </c>
      <c r="G23" s="19">
        <v>622600</v>
      </c>
      <c r="H23" s="19">
        <v>747200</v>
      </c>
      <c r="I23" s="19">
        <v>889000</v>
      </c>
      <c r="J23" s="19">
        <f>162374.16</f>
        <v>162374.16</v>
      </c>
      <c r="K23" s="42"/>
      <c r="L23" s="31"/>
    </row>
    <row r="24" spans="2:12" ht="23.25" customHeight="1">
      <c r="B24" s="4" t="s">
        <v>193</v>
      </c>
      <c r="C24" s="11" t="s">
        <v>9</v>
      </c>
      <c r="D24" s="11" t="s">
        <v>25</v>
      </c>
      <c r="E24" s="11" t="s">
        <v>192</v>
      </c>
      <c r="F24" s="11" t="s">
        <v>11</v>
      </c>
      <c r="G24" s="19">
        <f>G25</f>
        <v>228300</v>
      </c>
      <c r="H24" s="19">
        <f>H25</f>
        <v>230300</v>
      </c>
      <c r="I24" s="19">
        <f>I25</f>
        <v>232800</v>
      </c>
      <c r="J24" s="19">
        <f>J25</f>
        <v>70642.78</v>
      </c>
      <c r="K24" s="41"/>
      <c r="L24" s="31"/>
    </row>
    <row r="25" spans="2:12" ht="23.25" customHeight="1">
      <c r="B25" s="4" t="s">
        <v>18</v>
      </c>
      <c r="C25" s="11" t="s">
        <v>9</v>
      </c>
      <c r="D25" s="11" t="s">
        <v>25</v>
      </c>
      <c r="E25" s="11" t="s">
        <v>192</v>
      </c>
      <c r="F25" s="11" t="s">
        <v>154</v>
      </c>
      <c r="G25" s="19">
        <v>228300</v>
      </c>
      <c r="H25" s="19">
        <v>230300</v>
      </c>
      <c r="I25" s="19">
        <v>232800</v>
      </c>
      <c r="J25" s="19">
        <f>58237.92+12404.86</f>
        <v>70642.78</v>
      </c>
      <c r="K25" s="41"/>
      <c r="L25" s="31"/>
    </row>
    <row r="26" spans="2:12" ht="43.5" customHeight="1">
      <c r="B26" s="4" t="s">
        <v>195</v>
      </c>
      <c r="C26" s="11" t="s">
        <v>9</v>
      </c>
      <c r="D26" s="11" t="s">
        <v>25</v>
      </c>
      <c r="E26" s="11" t="s">
        <v>194</v>
      </c>
      <c r="F26" s="11" t="s">
        <v>11</v>
      </c>
      <c r="G26" s="19">
        <f>G27</f>
        <v>241700</v>
      </c>
      <c r="H26" s="19">
        <f>H27</f>
        <v>244200</v>
      </c>
      <c r="I26" s="19">
        <f>I27</f>
        <v>247300</v>
      </c>
      <c r="J26" s="19">
        <f>J27</f>
        <v>57172.86</v>
      </c>
      <c r="K26" s="41"/>
      <c r="L26" s="31"/>
    </row>
    <row r="27" spans="2:12" ht="23.25" customHeight="1">
      <c r="B27" s="4" t="s">
        <v>18</v>
      </c>
      <c r="C27" s="11" t="s">
        <v>9</v>
      </c>
      <c r="D27" s="11" t="s">
        <v>25</v>
      </c>
      <c r="E27" s="11" t="s">
        <v>194</v>
      </c>
      <c r="F27" s="11" t="s">
        <v>154</v>
      </c>
      <c r="G27" s="19">
        <v>241700</v>
      </c>
      <c r="H27" s="19">
        <v>244200</v>
      </c>
      <c r="I27" s="19">
        <v>247300</v>
      </c>
      <c r="J27" s="19">
        <f>46547.86+10625</f>
        <v>57172.86</v>
      </c>
      <c r="K27" s="41"/>
      <c r="L27" s="31"/>
    </row>
    <row r="28" spans="2:12" ht="66.75" customHeight="1">
      <c r="B28" s="4" t="s">
        <v>197</v>
      </c>
      <c r="C28" s="11" t="s">
        <v>9</v>
      </c>
      <c r="D28" s="11" t="s">
        <v>25</v>
      </c>
      <c r="E28" s="11" t="s">
        <v>196</v>
      </c>
      <c r="F28" s="11" t="s">
        <v>11</v>
      </c>
      <c r="G28" s="19">
        <f>G29</f>
        <v>44400</v>
      </c>
      <c r="H28" s="19">
        <f>H29</f>
        <v>47600</v>
      </c>
      <c r="I28" s="19">
        <f>I29</f>
        <v>51400</v>
      </c>
      <c r="J28" s="19">
        <f>J29</f>
        <v>0</v>
      </c>
      <c r="K28" s="41"/>
      <c r="L28" s="31"/>
    </row>
    <row r="29" spans="2:12" ht="24.75" customHeight="1">
      <c r="B29" s="4" t="s">
        <v>18</v>
      </c>
      <c r="C29" s="11" t="s">
        <v>9</v>
      </c>
      <c r="D29" s="11" t="s">
        <v>25</v>
      </c>
      <c r="E29" s="11" t="s">
        <v>196</v>
      </c>
      <c r="F29" s="11" t="s">
        <v>154</v>
      </c>
      <c r="G29" s="19">
        <v>44400</v>
      </c>
      <c r="H29" s="19">
        <v>47600</v>
      </c>
      <c r="I29" s="19">
        <v>51400</v>
      </c>
      <c r="J29" s="19"/>
      <c r="K29" s="41"/>
      <c r="L29" s="31"/>
    </row>
    <row r="30" spans="2:12" ht="46.5" customHeight="1">
      <c r="B30" s="4" t="s">
        <v>199</v>
      </c>
      <c r="C30" s="11" t="s">
        <v>9</v>
      </c>
      <c r="D30" s="11" t="s">
        <v>25</v>
      </c>
      <c r="E30" s="11" t="s">
        <v>198</v>
      </c>
      <c r="F30" s="11" t="s">
        <v>11</v>
      </c>
      <c r="G30" s="19">
        <f>G31</f>
        <v>0</v>
      </c>
      <c r="H30" s="19">
        <f>H31</f>
        <v>0</v>
      </c>
      <c r="I30" s="19">
        <f>I31</f>
        <v>0</v>
      </c>
      <c r="J30" s="19">
        <f>J31</f>
        <v>0</v>
      </c>
      <c r="K30" s="41"/>
      <c r="L30" s="31"/>
    </row>
    <row r="31" spans="2:12" ht="22.5" customHeight="1">
      <c r="B31" s="4" t="s">
        <v>18</v>
      </c>
      <c r="C31" s="11" t="s">
        <v>9</v>
      </c>
      <c r="D31" s="11" t="s">
        <v>25</v>
      </c>
      <c r="E31" s="11" t="s">
        <v>198</v>
      </c>
      <c r="F31" s="11" t="s">
        <v>154</v>
      </c>
      <c r="G31" s="19">
        <v>0</v>
      </c>
      <c r="H31" s="19">
        <v>0</v>
      </c>
      <c r="I31" s="19">
        <v>0</v>
      </c>
      <c r="J31" s="19">
        <v>0</v>
      </c>
      <c r="K31" s="41"/>
      <c r="L31" s="31"/>
    </row>
    <row r="32" spans="2:12" ht="12.75">
      <c r="B32" s="6" t="s">
        <v>26</v>
      </c>
      <c r="C32" s="10" t="s">
        <v>9</v>
      </c>
      <c r="D32" s="10" t="s">
        <v>27</v>
      </c>
      <c r="E32" s="10" t="s">
        <v>8</v>
      </c>
      <c r="F32" s="10" t="s">
        <v>11</v>
      </c>
      <c r="G32" s="21">
        <f aca="true" t="shared" si="1" ref="G32:J33">G33</f>
        <v>0</v>
      </c>
      <c r="H32" s="21">
        <f t="shared" si="1"/>
        <v>0</v>
      </c>
      <c r="I32" s="21">
        <f t="shared" si="1"/>
        <v>0</v>
      </c>
      <c r="J32" s="21">
        <f t="shared" si="1"/>
        <v>0</v>
      </c>
      <c r="K32" s="40"/>
      <c r="L32" s="34"/>
    </row>
    <row r="33" spans="2:12" ht="59.25" customHeight="1">
      <c r="B33" s="4" t="s">
        <v>28</v>
      </c>
      <c r="C33" s="11" t="s">
        <v>9</v>
      </c>
      <c r="D33" s="11" t="s">
        <v>27</v>
      </c>
      <c r="E33" s="11" t="s">
        <v>29</v>
      </c>
      <c r="F33" s="11" t="s">
        <v>11</v>
      </c>
      <c r="G33" s="19">
        <f t="shared" si="1"/>
        <v>0</v>
      </c>
      <c r="H33" s="19">
        <f t="shared" si="1"/>
        <v>0</v>
      </c>
      <c r="I33" s="19">
        <f t="shared" si="1"/>
        <v>0</v>
      </c>
      <c r="J33" s="19">
        <f t="shared" si="1"/>
        <v>0</v>
      </c>
      <c r="K33" s="41"/>
      <c r="L33" s="31"/>
    </row>
    <row r="34" spans="2:12" ht="22.5">
      <c r="B34" s="4" t="s">
        <v>18</v>
      </c>
      <c r="C34" s="11" t="s">
        <v>9</v>
      </c>
      <c r="D34" s="11" t="s">
        <v>27</v>
      </c>
      <c r="E34" s="11" t="s">
        <v>29</v>
      </c>
      <c r="F34" s="11" t="s">
        <v>154</v>
      </c>
      <c r="G34" s="19">
        <v>0</v>
      </c>
      <c r="H34" s="19">
        <v>0</v>
      </c>
      <c r="I34" s="19">
        <v>0</v>
      </c>
      <c r="J34" s="19">
        <v>0</v>
      </c>
      <c r="K34" s="41"/>
      <c r="L34" s="31"/>
    </row>
    <row r="35" spans="2:12" ht="56.25">
      <c r="B35" s="6" t="s">
        <v>30</v>
      </c>
      <c r="C35" s="10" t="s">
        <v>9</v>
      </c>
      <c r="D35" s="10" t="s">
        <v>31</v>
      </c>
      <c r="E35" s="10" t="s">
        <v>8</v>
      </c>
      <c r="F35" s="10" t="s">
        <v>11</v>
      </c>
      <c r="G35" s="21">
        <f aca="true" t="shared" si="2" ref="G35:J36">G36</f>
        <v>10446603.04</v>
      </c>
      <c r="H35" s="21">
        <f t="shared" si="2"/>
        <v>10596700</v>
      </c>
      <c r="I35" s="21">
        <f t="shared" si="2"/>
        <v>10797700</v>
      </c>
      <c r="J35" s="21">
        <f t="shared" si="2"/>
        <v>1818346.3</v>
      </c>
      <c r="K35" s="40"/>
      <c r="L35" s="34"/>
    </row>
    <row r="36" spans="2:12" ht="45">
      <c r="B36" s="4" t="s">
        <v>126</v>
      </c>
      <c r="C36" s="11" t="s">
        <v>9</v>
      </c>
      <c r="D36" s="11" t="s">
        <v>31</v>
      </c>
      <c r="E36" s="11" t="s">
        <v>258</v>
      </c>
      <c r="F36" s="11" t="s">
        <v>11</v>
      </c>
      <c r="G36" s="19">
        <f t="shared" si="2"/>
        <v>10446603.04</v>
      </c>
      <c r="H36" s="19">
        <f t="shared" si="2"/>
        <v>10596700</v>
      </c>
      <c r="I36" s="19">
        <f t="shared" si="2"/>
        <v>10797700</v>
      </c>
      <c r="J36" s="19">
        <f t="shared" si="2"/>
        <v>1818346.3</v>
      </c>
      <c r="K36" s="41"/>
      <c r="L36" s="31"/>
    </row>
    <row r="37" spans="2:12" ht="22.5">
      <c r="B37" s="4" t="s">
        <v>18</v>
      </c>
      <c r="C37" s="11" t="s">
        <v>9</v>
      </c>
      <c r="D37" s="11" t="s">
        <v>31</v>
      </c>
      <c r="E37" s="11" t="s">
        <v>258</v>
      </c>
      <c r="F37" s="11" t="s">
        <v>154</v>
      </c>
      <c r="G37" s="19">
        <v>10446603.04</v>
      </c>
      <c r="H37" s="19">
        <v>10596700</v>
      </c>
      <c r="I37" s="19">
        <v>10797700</v>
      </c>
      <c r="J37" s="19">
        <v>1818346.3</v>
      </c>
      <c r="K37" s="41"/>
      <c r="L37" s="31"/>
    </row>
    <row r="38" spans="2:12" ht="22.5">
      <c r="B38" s="6" t="s">
        <v>34</v>
      </c>
      <c r="C38" s="10" t="s">
        <v>9</v>
      </c>
      <c r="D38" s="10" t="s">
        <v>35</v>
      </c>
      <c r="E38" s="10" t="s">
        <v>8</v>
      </c>
      <c r="F38" s="10" t="s">
        <v>11</v>
      </c>
      <c r="G38" s="21">
        <f>G39+G41+G43+G45</f>
        <v>1294295.71</v>
      </c>
      <c r="H38" s="21">
        <f>H39+H41+H43+H45</f>
        <v>1572400</v>
      </c>
      <c r="I38" s="21">
        <f>I39+I41+I43+I45</f>
        <v>1657800</v>
      </c>
      <c r="J38" s="21">
        <f>J39+J41+J43+J45</f>
        <v>183909.5</v>
      </c>
      <c r="K38" s="40"/>
      <c r="L38" s="34"/>
    </row>
    <row r="39" spans="2:12" ht="22.5">
      <c r="B39" s="4" t="s">
        <v>36</v>
      </c>
      <c r="C39" s="11" t="s">
        <v>9</v>
      </c>
      <c r="D39" s="11" t="s">
        <v>35</v>
      </c>
      <c r="E39" s="11" t="s">
        <v>37</v>
      </c>
      <c r="F39" s="11" t="s">
        <v>11</v>
      </c>
      <c r="G39" s="19">
        <f>G40</f>
        <v>1294295.71</v>
      </c>
      <c r="H39" s="19">
        <f>H40</f>
        <v>1572400</v>
      </c>
      <c r="I39" s="19">
        <f>I40</f>
        <v>1657800</v>
      </c>
      <c r="J39" s="19">
        <f>J40</f>
        <v>183909.5</v>
      </c>
      <c r="K39" s="41"/>
      <c r="L39" s="31"/>
    </row>
    <row r="40" spans="2:12" ht="22.5">
      <c r="B40" s="4" t="s">
        <v>18</v>
      </c>
      <c r="C40" s="11" t="s">
        <v>9</v>
      </c>
      <c r="D40" s="11" t="s">
        <v>35</v>
      </c>
      <c r="E40" s="11" t="s">
        <v>37</v>
      </c>
      <c r="F40" s="11" t="s">
        <v>154</v>
      </c>
      <c r="G40" s="19">
        <v>1294295.71</v>
      </c>
      <c r="H40" s="19">
        <v>1572400</v>
      </c>
      <c r="I40" s="19">
        <v>1657800</v>
      </c>
      <c r="J40" s="19">
        <v>183909.5</v>
      </c>
      <c r="K40" s="41"/>
      <c r="L40" s="31"/>
    </row>
    <row r="41" spans="2:12" ht="12.75">
      <c r="B41" s="4" t="s">
        <v>20</v>
      </c>
      <c r="C41" s="15" t="s">
        <v>9</v>
      </c>
      <c r="D41" s="15" t="s">
        <v>35</v>
      </c>
      <c r="E41" s="15" t="s">
        <v>21</v>
      </c>
      <c r="F41" s="11" t="s">
        <v>11</v>
      </c>
      <c r="G41" s="19">
        <f>G42</f>
        <v>0</v>
      </c>
      <c r="H41" s="19">
        <f>H42</f>
        <v>0</v>
      </c>
      <c r="I41" s="19">
        <f>I42</f>
        <v>0</v>
      </c>
      <c r="J41" s="19">
        <f>J42</f>
        <v>0</v>
      </c>
      <c r="K41" s="41"/>
      <c r="L41" s="31"/>
    </row>
    <row r="42" spans="2:12" ht="22.5">
      <c r="B42" s="4" t="s">
        <v>18</v>
      </c>
      <c r="C42" s="15" t="s">
        <v>9</v>
      </c>
      <c r="D42" s="15" t="s">
        <v>35</v>
      </c>
      <c r="E42" s="15" t="s">
        <v>21</v>
      </c>
      <c r="F42" s="11" t="s">
        <v>154</v>
      </c>
      <c r="G42" s="19">
        <v>0</v>
      </c>
      <c r="H42" s="19">
        <v>0</v>
      </c>
      <c r="I42" s="19">
        <v>0</v>
      </c>
      <c r="J42" s="19"/>
      <c r="K42" s="41"/>
      <c r="L42" s="31"/>
    </row>
    <row r="43" spans="2:12" ht="24" customHeight="1">
      <c r="B43" s="4" t="s">
        <v>260</v>
      </c>
      <c r="C43" s="15" t="s">
        <v>9</v>
      </c>
      <c r="D43" s="15" t="s">
        <v>35</v>
      </c>
      <c r="E43" s="15" t="s">
        <v>259</v>
      </c>
      <c r="F43" s="11" t="s">
        <v>11</v>
      </c>
      <c r="G43" s="19">
        <f>G44</f>
        <v>0</v>
      </c>
      <c r="H43" s="19">
        <f>H44</f>
        <v>0</v>
      </c>
      <c r="I43" s="19">
        <f>I44</f>
        <v>0</v>
      </c>
      <c r="J43" s="19">
        <f>J44</f>
        <v>0</v>
      </c>
      <c r="K43" s="41"/>
      <c r="L43" s="31"/>
    </row>
    <row r="44" spans="2:12" ht="22.5">
      <c r="B44" s="4" t="s">
        <v>18</v>
      </c>
      <c r="C44" s="15" t="s">
        <v>9</v>
      </c>
      <c r="D44" s="15" t="s">
        <v>35</v>
      </c>
      <c r="E44" s="15" t="s">
        <v>259</v>
      </c>
      <c r="F44" s="11" t="s">
        <v>154</v>
      </c>
      <c r="G44" s="19">
        <v>0</v>
      </c>
      <c r="H44" s="19">
        <v>0</v>
      </c>
      <c r="I44" s="19">
        <v>0</v>
      </c>
      <c r="J44" s="19"/>
      <c r="K44" s="41"/>
      <c r="L44" s="31"/>
    </row>
    <row r="45" spans="2:12" s="14" customFormat="1" ht="66.75" customHeight="1">
      <c r="B45" s="28" t="s">
        <v>147</v>
      </c>
      <c r="C45" s="51" t="s">
        <v>9</v>
      </c>
      <c r="D45" s="51" t="s">
        <v>35</v>
      </c>
      <c r="E45" s="51" t="s">
        <v>146</v>
      </c>
      <c r="F45" s="51" t="s">
        <v>11</v>
      </c>
      <c r="G45" s="19">
        <f>G46</f>
        <v>0</v>
      </c>
      <c r="H45" s="19">
        <f>H46</f>
        <v>0</v>
      </c>
      <c r="I45" s="19">
        <f>I46</f>
        <v>0</v>
      </c>
      <c r="J45" s="19">
        <f>J46</f>
        <v>0</v>
      </c>
      <c r="K45" s="41"/>
      <c r="L45" s="31"/>
    </row>
    <row r="46" spans="2:12" s="14" customFormat="1" ht="27" customHeight="1">
      <c r="B46" s="28" t="s">
        <v>18</v>
      </c>
      <c r="C46" s="51" t="s">
        <v>9</v>
      </c>
      <c r="D46" s="51" t="s">
        <v>35</v>
      </c>
      <c r="E46" s="51" t="s">
        <v>146</v>
      </c>
      <c r="F46" s="51" t="s">
        <v>154</v>
      </c>
      <c r="G46" s="19">
        <v>0</v>
      </c>
      <c r="H46" s="19">
        <v>0</v>
      </c>
      <c r="I46" s="19">
        <v>0</v>
      </c>
      <c r="J46" s="19">
        <v>0</v>
      </c>
      <c r="K46" s="41"/>
      <c r="L46" s="31"/>
    </row>
    <row r="47" spans="2:12" ht="25.5" customHeight="1">
      <c r="B47" s="7" t="s">
        <v>40</v>
      </c>
      <c r="C47" s="9" t="s">
        <v>19</v>
      </c>
      <c r="D47" s="9" t="s">
        <v>10</v>
      </c>
      <c r="E47" s="9" t="s">
        <v>33</v>
      </c>
      <c r="F47" s="9" t="s">
        <v>11</v>
      </c>
      <c r="G47" s="24">
        <f>G48+G65</f>
        <v>32923144.26</v>
      </c>
      <c r="H47" s="24">
        <f>H48+H65</f>
        <v>17719200</v>
      </c>
      <c r="I47" s="24">
        <f>I48+I65</f>
        <v>19235900</v>
      </c>
      <c r="J47" s="24">
        <f>J48+J65</f>
        <v>19214537.27</v>
      </c>
      <c r="K47" s="38"/>
      <c r="L47" s="39"/>
    </row>
    <row r="48" spans="2:12" ht="18.75" customHeight="1">
      <c r="B48" s="6" t="s">
        <v>41</v>
      </c>
      <c r="C48" s="10" t="s">
        <v>19</v>
      </c>
      <c r="D48" s="10" t="s">
        <v>13</v>
      </c>
      <c r="E48" s="10" t="s">
        <v>8</v>
      </c>
      <c r="F48" s="10" t="s">
        <v>11</v>
      </c>
      <c r="G48" s="21">
        <f>G49+G51+G53+G55+G57+G59+G61+G63</f>
        <v>15947930</v>
      </c>
      <c r="H48" s="21">
        <f>H49+H51+H53+H55+H57+H59+H61+H63</f>
        <v>17219200</v>
      </c>
      <c r="I48" s="21">
        <f>I49+I51+I53+I55+I57+I59+I61+I63</f>
        <v>18735900</v>
      </c>
      <c r="J48" s="21">
        <f>J49+J51+J53+J55+J57+J59+J61+J63</f>
        <v>2614323.0100000002</v>
      </c>
      <c r="K48" s="40"/>
      <c r="L48" s="34"/>
    </row>
    <row r="49" spans="2:12" ht="92.25" customHeight="1">
      <c r="B49" s="4" t="s">
        <v>42</v>
      </c>
      <c r="C49" s="11" t="s">
        <v>19</v>
      </c>
      <c r="D49" s="11" t="s">
        <v>13</v>
      </c>
      <c r="E49" s="11" t="s">
        <v>43</v>
      </c>
      <c r="F49" s="11" t="s">
        <v>11</v>
      </c>
      <c r="G49" s="19">
        <f>G50</f>
        <v>3239000</v>
      </c>
      <c r="H49" s="19">
        <f>H50</f>
        <v>3762000</v>
      </c>
      <c r="I49" s="19">
        <f>I50</f>
        <v>3314600</v>
      </c>
      <c r="J49" s="19">
        <f>J50</f>
        <v>587984.53</v>
      </c>
      <c r="K49" s="41"/>
      <c r="L49" s="31"/>
    </row>
    <row r="50" spans="2:12" ht="45">
      <c r="B50" s="4" t="s">
        <v>44</v>
      </c>
      <c r="C50" s="11" t="s">
        <v>19</v>
      </c>
      <c r="D50" s="11" t="s">
        <v>13</v>
      </c>
      <c r="E50" s="11" t="s">
        <v>43</v>
      </c>
      <c r="F50" s="11" t="s">
        <v>45</v>
      </c>
      <c r="G50" s="19">
        <v>3239000</v>
      </c>
      <c r="H50" s="19">
        <v>3762000</v>
      </c>
      <c r="I50" s="19">
        <v>3314600</v>
      </c>
      <c r="J50" s="19">
        <f>549034.53+23650+15300</f>
        <v>587984.53</v>
      </c>
      <c r="K50" s="41"/>
      <c r="L50" s="31"/>
    </row>
    <row r="51" spans="2:12" ht="12.75">
      <c r="B51" s="4" t="s">
        <v>46</v>
      </c>
      <c r="C51" s="11" t="s">
        <v>19</v>
      </c>
      <c r="D51" s="11" t="s">
        <v>13</v>
      </c>
      <c r="E51" s="11" t="s">
        <v>47</v>
      </c>
      <c r="F51" s="11" t="s">
        <v>11</v>
      </c>
      <c r="G51" s="19">
        <f>G52</f>
        <v>8973025</v>
      </c>
      <c r="H51" s="19">
        <f>H52</f>
        <v>9603842</v>
      </c>
      <c r="I51" s="19">
        <f>I52</f>
        <v>11227398</v>
      </c>
      <c r="J51" s="19">
        <f>J52</f>
        <v>1669877.26</v>
      </c>
      <c r="K51" s="41"/>
      <c r="L51" s="31"/>
    </row>
    <row r="52" spans="2:12" ht="45">
      <c r="B52" s="4" t="s">
        <v>44</v>
      </c>
      <c r="C52" s="11" t="s">
        <v>19</v>
      </c>
      <c r="D52" s="11" t="s">
        <v>13</v>
      </c>
      <c r="E52" s="11" t="s">
        <v>47</v>
      </c>
      <c r="F52" s="11" t="s">
        <v>45</v>
      </c>
      <c r="G52" s="19">
        <v>8973025</v>
      </c>
      <c r="H52" s="19">
        <v>9603842</v>
      </c>
      <c r="I52" s="19">
        <v>11227398</v>
      </c>
      <c r="J52" s="19">
        <f>920758.37+747868.89+1250</f>
        <v>1669877.26</v>
      </c>
      <c r="K52" s="41"/>
      <c r="L52" s="31"/>
    </row>
    <row r="53" spans="2:12" ht="24.75" customHeight="1">
      <c r="B53" s="4" t="s">
        <v>159</v>
      </c>
      <c r="C53" s="11" t="s">
        <v>19</v>
      </c>
      <c r="D53" s="11" t="s">
        <v>13</v>
      </c>
      <c r="E53" s="11" t="s">
        <v>156</v>
      </c>
      <c r="F53" s="11" t="s">
        <v>11</v>
      </c>
      <c r="G53" s="19">
        <f>G54</f>
        <v>2552025</v>
      </c>
      <c r="H53" s="19">
        <f>H54</f>
        <v>2574768</v>
      </c>
      <c r="I53" s="19">
        <f>I54</f>
        <v>2803032</v>
      </c>
      <c r="J53" s="19">
        <f>J54</f>
        <v>257740.89</v>
      </c>
      <c r="K53" s="41"/>
      <c r="L53" s="31"/>
    </row>
    <row r="54" spans="2:12" ht="45">
      <c r="B54" s="4" t="s">
        <v>44</v>
      </c>
      <c r="C54" s="11" t="s">
        <v>19</v>
      </c>
      <c r="D54" s="11" t="s">
        <v>13</v>
      </c>
      <c r="E54" s="11" t="s">
        <v>156</v>
      </c>
      <c r="F54" s="11" t="s">
        <v>45</v>
      </c>
      <c r="G54" s="19">
        <v>2552025</v>
      </c>
      <c r="H54" s="19">
        <v>2574768</v>
      </c>
      <c r="I54" s="19">
        <v>2803032</v>
      </c>
      <c r="J54" s="19">
        <f>3426.24+12500+7000+6170.89+150070+61573.76+17000</f>
        <v>257740.89</v>
      </c>
      <c r="K54" s="41"/>
      <c r="L54" s="31"/>
    </row>
    <row r="55" spans="2:12" ht="12.75">
      <c r="B55" s="4" t="s">
        <v>262</v>
      </c>
      <c r="C55" s="11" t="s">
        <v>19</v>
      </c>
      <c r="D55" s="11" t="s">
        <v>13</v>
      </c>
      <c r="E55" s="11" t="s">
        <v>261</v>
      </c>
      <c r="F55" s="11" t="s">
        <v>11</v>
      </c>
      <c r="G55" s="19">
        <f>G56</f>
        <v>0</v>
      </c>
      <c r="H55" s="19">
        <f>H56</f>
        <v>0</v>
      </c>
      <c r="I55" s="19">
        <f>I56</f>
        <v>0</v>
      </c>
      <c r="J55" s="19">
        <f>J56</f>
        <v>0</v>
      </c>
      <c r="K55" s="41"/>
      <c r="L55" s="31"/>
    </row>
    <row r="56" spans="2:12" ht="45">
      <c r="B56" s="4" t="s">
        <v>44</v>
      </c>
      <c r="C56" s="11" t="s">
        <v>19</v>
      </c>
      <c r="D56" s="11" t="s">
        <v>13</v>
      </c>
      <c r="E56" s="11" t="s">
        <v>261</v>
      </c>
      <c r="F56" s="11" t="s">
        <v>45</v>
      </c>
      <c r="G56" s="19">
        <v>0</v>
      </c>
      <c r="H56" s="19">
        <v>0</v>
      </c>
      <c r="I56" s="19">
        <v>0</v>
      </c>
      <c r="J56" s="19"/>
      <c r="K56" s="41"/>
      <c r="L56" s="31"/>
    </row>
    <row r="57" spans="2:12" s="14" customFormat="1" ht="36" customHeight="1">
      <c r="B57" s="28" t="s">
        <v>326</v>
      </c>
      <c r="C57" s="51" t="s">
        <v>19</v>
      </c>
      <c r="D57" s="51" t="s">
        <v>13</v>
      </c>
      <c r="E57" s="51" t="s">
        <v>318</v>
      </c>
      <c r="F57" s="51" t="s">
        <v>11</v>
      </c>
      <c r="G57" s="19">
        <f>G58</f>
        <v>277500</v>
      </c>
      <c r="H57" s="19">
        <f>H58</f>
        <v>299700</v>
      </c>
      <c r="I57" s="19">
        <f>I58</f>
        <v>326070</v>
      </c>
      <c r="J57" s="19">
        <f>J58</f>
        <v>37861.72</v>
      </c>
      <c r="K57" s="41"/>
      <c r="L57" s="31"/>
    </row>
    <row r="58" spans="2:12" s="14" customFormat="1" ht="45">
      <c r="B58" s="28" t="s">
        <v>44</v>
      </c>
      <c r="C58" s="51" t="s">
        <v>19</v>
      </c>
      <c r="D58" s="51" t="s">
        <v>13</v>
      </c>
      <c r="E58" s="51" t="s">
        <v>318</v>
      </c>
      <c r="F58" s="51" t="s">
        <v>45</v>
      </c>
      <c r="G58" s="19">
        <v>277500</v>
      </c>
      <c r="H58" s="19">
        <v>299700</v>
      </c>
      <c r="I58" s="19">
        <v>326070</v>
      </c>
      <c r="J58" s="19">
        <v>37861.72</v>
      </c>
      <c r="K58" s="41"/>
      <c r="L58" s="31"/>
    </row>
    <row r="59" spans="2:12" s="14" customFormat="1" ht="24" customHeight="1">
      <c r="B59" s="28" t="s">
        <v>327</v>
      </c>
      <c r="C59" s="51" t="s">
        <v>19</v>
      </c>
      <c r="D59" s="51" t="s">
        <v>13</v>
      </c>
      <c r="E59" s="51" t="s">
        <v>319</v>
      </c>
      <c r="F59" s="51" t="s">
        <v>11</v>
      </c>
      <c r="G59" s="19">
        <f>G60</f>
        <v>300000</v>
      </c>
      <c r="H59" s="19">
        <f>H60</f>
        <v>324000</v>
      </c>
      <c r="I59" s="19">
        <f>I60</f>
        <v>352500</v>
      </c>
      <c r="J59" s="19">
        <f>J60</f>
        <v>24686.13</v>
      </c>
      <c r="K59" s="41"/>
      <c r="L59" s="31"/>
    </row>
    <row r="60" spans="2:12" ht="45">
      <c r="B60" s="4" t="s">
        <v>44</v>
      </c>
      <c r="C60" s="11" t="s">
        <v>19</v>
      </c>
      <c r="D60" s="11" t="s">
        <v>13</v>
      </c>
      <c r="E60" s="11" t="s">
        <v>319</v>
      </c>
      <c r="F60" s="11" t="s">
        <v>45</v>
      </c>
      <c r="G60" s="19">
        <v>300000</v>
      </c>
      <c r="H60" s="19">
        <v>324000</v>
      </c>
      <c r="I60" s="19">
        <v>352500</v>
      </c>
      <c r="J60" s="19">
        <v>24686.13</v>
      </c>
      <c r="K60" s="41"/>
      <c r="L60" s="31"/>
    </row>
    <row r="61" spans="2:12" ht="50.25" customHeight="1">
      <c r="B61" s="4" t="s">
        <v>158</v>
      </c>
      <c r="C61" s="11" t="s">
        <v>19</v>
      </c>
      <c r="D61" s="11" t="s">
        <v>13</v>
      </c>
      <c r="E61" s="11" t="s">
        <v>157</v>
      </c>
      <c r="F61" s="11" t="s">
        <v>11</v>
      </c>
      <c r="G61" s="19">
        <f>G62</f>
        <v>606380</v>
      </c>
      <c r="H61" s="19">
        <f>H62</f>
        <v>654890</v>
      </c>
      <c r="I61" s="19">
        <f>I62</f>
        <v>712300</v>
      </c>
      <c r="J61" s="19">
        <f>J62</f>
        <v>36172.479999999996</v>
      </c>
      <c r="K61" s="41"/>
      <c r="L61" s="31"/>
    </row>
    <row r="62" spans="2:12" ht="12.75">
      <c r="B62" s="4" t="s">
        <v>48</v>
      </c>
      <c r="C62" s="11" t="s">
        <v>19</v>
      </c>
      <c r="D62" s="11" t="s">
        <v>13</v>
      </c>
      <c r="E62" s="11" t="s">
        <v>157</v>
      </c>
      <c r="F62" s="11" t="s">
        <v>49</v>
      </c>
      <c r="G62" s="19">
        <v>606380</v>
      </c>
      <c r="H62" s="19">
        <v>654890</v>
      </c>
      <c r="I62" s="19">
        <v>712300</v>
      </c>
      <c r="J62" s="19">
        <f>18564.67+17607.81</f>
        <v>36172.479999999996</v>
      </c>
      <c r="K62" s="41"/>
      <c r="L62" s="31"/>
    </row>
    <row r="63" spans="2:12" ht="22.5">
      <c r="B63" s="4" t="s">
        <v>50</v>
      </c>
      <c r="C63" s="11" t="s">
        <v>19</v>
      </c>
      <c r="D63" s="11" t="s">
        <v>13</v>
      </c>
      <c r="E63" s="11" t="s">
        <v>51</v>
      </c>
      <c r="F63" s="11" t="s">
        <v>11</v>
      </c>
      <c r="G63" s="19">
        <f>G64</f>
        <v>0</v>
      </c>
      <c r="H63" s="19">
        <f>H64</f>
        <v>0</v>
      </c>
      <c r="I63" s="19">
        <f>I64</f>
        <v>0</v>
      </c>
      <c r="J63" s="19">
        <f>J64</f>
        <v>0</v>
      </c>
      <c r="K63" s="41"/>
      <c r="L63" s="31"/>
    </row>
    <row r="64" spans="2:12" ht="22.5">
      <c r="B64" s="4" t="s">
        <v>18</v>
      </c>
      <c r="C64" s="11" t="s">
        <v>19</v>
      </c>
      <c r="D64" s="11" t="s">
        <v>13</v>
      </c>
      <c r="E64" s="11" t="s">
        <v>51</v>
      </c>
      <c r="F64" s="11" t="s">
        <v>154</v>
      </c>
      <c r="G64" s="19">
        <v>0</v>
      </c>
      <c r="H64" s="19">
        <v>0</v>
      </c>
      <c r="I64" s="19">
        <v>0</v>
      </c>
      <c r="J64" s="19"/>
      <c r="K64" s="41"/>
      <c r="L64" s="31"/>
    </row>
    <row r="65" spans="2:12" ht="44.25" customHeight="1">
      <c r="B65" s="6" t="s">
        <v>127</v>
      </c>
      <c r="C65" s="10" t="s">
        <v>19</v>
      </c>
      <c r="D65" s="10" t="s">
        <v>72</v>
      </c>
      <c r="E65" s="10" t="s">
        <v>8</v>
      </c>
      <c r="F65" s="10" t="s">
        <v>11</v>
      </c>
      <c r="G65" s="21">
        <f>G66+G68</f>
        <v>16975214.26</v>
      </c>
      <c r="H65" s="21">
        <f>H66+H68</f>
        <v>500000</v>
      </c>
      <c r="I65" s="21">
        <f>I66+I68</f>
        <v>500000</v>
      </c>
      <c r="J65" s="21">
        <f>J66+J68</f>
        <v>16600214.26</v>
      </c>
      <c r="K65" s="40"/>
      <c r="L65" s="34"/>
    </row>
    <row r="66" spans="2:12" ht="44.25" customHeight="1">
      <c r="B66" s="4" t="s">
        <v>128</v>
      </c>
      <c r="C66" s="11" t="s">
        <v>19</v>
      </c>
      <c r="D66" s="11" t="s">
        <v>72</v>
      </c>
      <c r="E66" s="11" t="s">
        <v>320</v>
      </c>
      <c r="F66" s="11" t="s">
        <v>11</v>
      </c>
      <c r="G66" s="19">
        <f>G67</f>
        <v>16975214.26</v>
      </c>
      <c r="H66" s="19">
        <f>H67</f>
        <v>500000</v>
      </c>
      <c r="I66" s="19">
        <f>I67</f>
        <v>500000</v>
      </c>
      <c r="J66" s="19">
        <f>J67</f>
        <v>16600214.26</v>
      </c>
      <c r="K66" s="41"/>
      <c r="L66" s="31"/>
    </row>
    <row r="67" spans="2:12" ht="22.5">
      <c r="B67" s="4" t="s">
        <v>18</v>
      </c>
      <c r="C67" s="11" t="s">
        <v>19</v>
      </c>
      <c r="D67" s="11" t="s">
        <v>72</v>
      </c>
      <c r="E67" s="11" t="s">
        <v>320</v>
      </c>
      <c r="F67" s="11" t="s">
        <v>154</v>
      </c>
      <c r="G67" s="19">
        <v>16975214.26</v>
      </c>
      <c r="H67" s="19">
        <v>500000</v>
      </c>
      <c r="I67" s="19">
        <v>500000</v>
      </c>
      <c r="J67" s="19">
        <v>16600214.26</v>
      </c>
      <c r="K67" s="41"/>
      <c r="L67" s="31"/>
    </row>
    <row r="68" spans="2:12" ht="23.25" customHeight="1">
      <c r="B68" s="4" t="s">
        <v>64</v>
      </c>
      <c r="C68" s="11" t="s">
        <v>19</v>
      </c>
      <c r="D68" s="11" t="s">
        <v>72</v>
      </c>
      <c r="E68" s="11" t="s">
        <v>263</v>
      </c>
      <c r="F68" s="11" t="s">
        <v>11</v>
      </c>
      <c r="G68" s="19">
        <f>G69</f>
        <v>0</v>
      </c>
      <c r="H68" s="19">
        <f>H69</f>
        <v>0</v>
      </c>
      <c r="I68" s="19">
        <f>I69</f>
        <v>0</v>
      </c>
      <c r="J68" s="19">
        <f>J69</f>
        <v>0</v>
      </c>
      <c r="K68" s="41"/>
      <c r="L68" s="31"/>
    </row>
    <row r="69" spans="2:12" ht="22.5">
      <c r="B69" s="4" t="s">
        <v>18</v>
      </c>
      <c r="C69" s="11" t="s">
        <v>19</v>
      </c>
      <c r="D69" s="11" t="s">
        <v>72</v>
      </c>
      <c r="E69" s="11" t="s">
        <v>263</v>
      </c>
      <c r="F69" s="11" t="s">
        <v>39</v>
      </c>
      <c r="G69" s="19">
        <v>0</v>
      </c>
      <c r="H69" s="19">
        <v>0</v>
      </c>
      <c r="I69" s="19">
        <v>0</v>
      </c>
      <c r="J69" s="19"/>
      <c r="K69" s="41"/>
      <c r="L69" s="31"/>
    </row>
    <row r="70" spans="2:12" ht="12.75">
      <c r="B70" s="7" t="s">
        <v>52</v>
      </c>
      <c r="C70" s="9" t="s">
        <v>25</v>
      </c>
      <c r="D70" s="9" t="s">
        <v>10</v>
      </c>
      <c r="E70" s="9" t="s">
        <v>8</v>
      </c>
      <c r="F70" s="9" t="s">
        <v>11</v>
      </c>
      <c r="G70" s="24">
        <f>G71+G76+G79+G85</f>
        <v>5992390.49</v>
      </c>
      <c r="H70" s="24">
        <f>H71+H76+H79+H85</f>
        <v>4253800</v>
      </c>
      <c r="I70" s="24">
        <f>I71+I76+I79+I85</f>
        <v>4432300</v>
      </c>
      <c r="J70" s="24">
        <f>J71+J76+J79+J85</f>
        <v>1097155.56</v>
      </c>
      <c r="K70" s="38"/>
      <c r="L70" s="39"/>
    </row>
    <row r="71" spans="2:12" ht="12.75">
      <c r="B71" s="6" t="s">
        <v>53</v>
      </c>
      <c r="C71" s="10" t="s">
        <v>25</v>
      </c>
      <c r="D71" s="10" t="s">
        <v>27</v>
      </c>
      <c r="E71" s="10" t="s">
        <v>8</v>
      </c>
      <c r="F71" s="10" t="s">
        <v>11</v>
      </c>
      <c r="G71" s="21">
        <f>G74+G73</f>
        <v>2899901</v>
      </c>
      <c r="H71" s="21">
        <f>H74+H73</f>
        <v>2803800</v>
      </c>
      <c r="I71" s="21">
        <f>I74+I73</f>
        <v>2832300</v>
      </c>
      <c r="J71" s="21">
        <f>J74+J73</f>
        <v>788940.83</v>
      </c>
      <c r="K71" s="40"/>
      <c r="L71" s="34"/>
    </row>
    <row r="72" spans="2:12" ht="25.5" customHeight="1">
      <c r="B72" s="4" t="s">
        <v>312</v>
      </c>
      <c r="C72" s="10" t="s">
        <v>25</v>
      </c>
      <c r="D72" s="10" t="s">
        <v>27</v>
      </c>
      <c r="E72" s="10" t="s">
        <v>311</v>
      </c>
      <c r="F72" s="10" t="s">
        <v>11</v>
      </c>
      <c r="G72" s="27">
        <f>G73</f>
        <v>0</v>
      </c>
      <c r="H72" s="27">
        <f>H73</f>
        <v>0</v>
      </c>
      <c r="I72" s="27">
        <f>I73</f>
        <v>0</v>
      </c>
      <c r="J72" s="27">
        <f>J73</f>
        <v>0</v>
      </c>
      <c r="K72" s="40"/>
      <c r="L72" s="34"/>
    </row>
    <row r="73" spans="2:12" ht="12.75">
      <c r="B73" s="4" t="s">
        <v>48</v>
      </c>
      <c r="C73" s="13" t="s">
        <v>25</v>
      </c>
      <c r="D73" s="13" t="s">
        <v>27</v>
      </c>
      <c r="E73" s="13" t="s">
        <v>311</v>
      </c>
      <c r="F73" s="13" t="s">
        <v>49</v>
      </c>
      <c r="G73" s="27">
        <v>0</v>
      </c>
      <c r="H73" s="27">
        <v>0</v>
      </c>
      <c r="I73" s="27">
        <v>0</v>
      </c>
      <c r="J73" s="27"/>
      <c r="K73" s="40"/>
      <c r="L73" s="34"/>
    </row>
    <row r="74" spans="2:12" ht="47.25" customHeight="1">
      <c r="B74" s="4" t="s">
        <v>160</v>
      </c>
      <c r="C74" s="11" t="s">
        <v>25</v>
      </c>
      <c r="D74" s="11" t="s">
        <v>27</v>
      </c>
      <c r="E74" s="11" t="s">
        <v>211</v>
      </c>
      <c r="F74" s="11" t="s">
        <v>11</v>
      </c>
      <c r="G74" s="19">
        <f>G75</f>
        <v>2899901</v>
      </c>
      <c r="H74" s="19">
        <f>H75</f>
        <v>2803800</v>
      </c>
      <c r="I74" s="19">
        <f>I75</f>
        <v>2832300</v>
      </c>
      <c r="J74" s="19">
        <f>J75</f>
        <v>788940.83</v>
      </c>
      <c r="K74" s="41"/>
      <c r="L74" s="31"/>
    </row>
    <row r="75" spans="2:12" ht="22.5">
      <c r="B75" s="4" t="s">
        <v>18</v>
      </c>
      <c r="C75" s="11" t="s">
        <v>25</v>
      </c>
      <c r="D75" s="11" t="s">
        <v>27</v>
      </c>
      <c r="E75" s="11" t="s">
        <v>211</v>
      </c>
      <c r="F75" s="11" t="s">
        <v>154</v>
      </c>
      <c r="G75" s="19">
        <v>2899901</v>
      </c>
      <c r="H75" s="19">
        <v>2803800</v>
      </c>
      <c r="I75" s="19">
        <v>2832300</v>
      </c>
      <c r="J75" s="19">
        <v>788940.83</v>
      </c>
      <c r="K75" s="41"/>
      <c r="L75" s="31"/>
    </row>
    <row r="76" spans="2:12" ht="12.75">
      <c r="B76" s="6" t="s">
        <v>54</v>
      </c>
      <c r="C76" s="10" t="s">
        <v>25</v>
      </c>
      <c r="D76" s="10" t="s">
        <v>55</v>
      </c>
      <c r="E76" s="10" t="s">
        <v>8</v>
      </c>
      <c r="F76" s="10" t="s">
        <v>11</v>
      </c>
      <c r="G76" s="21">
        <f aca="true" t="shared" si="3" ref="G76:J77">G77</f>
        <v>0</v>
      </c>
      <c r="H76" s="21">
        <f t="shared" si="3"/>
        <v>0</v>
      </c>
      <c r="I76" s="21">
        <f t="shared" si="3"/>
        <v>0</v>
      </c>
      <c r="J76" s="21">
        <f t="shared" si="3"/>
        <v>0</v>
      </c>
      <c r="K76" s="40"/>
      <c r="L76" s="34"/>
    </row>
    <row r="77" spans="2:12" ht="24" customHeight="1">
      <c r="B77" s="4" t="s">
        <v>265</v>
      </c>
      <c r="C77" s="11" t="s">
        <v>25</v>
      </c>
      <c r="D77" s="11" t="s">
        <v>55</v>
      </c>
      <c r="E77" s="11" t="s">
        <v>264</v>
      </c>
      <c r="F77" s="11" t="s">
        <v>11</v>
      </c>
      <c r="G77" s="19">
        <f t="shared" si="3"/>
        <v>0</v>
      </c>
      <c r="H77" s="19">
        <f t="shared" si="3"/>
        <v>0</v>
      </c>
      <c r="I77" s="19">
        <f t="shared" si="3"/>
        <v>0</v>
      </c>
      <c r="J77" s="19">
        <f t="shared" si="3"/>
        <v>0</v>
      </c>
      <c r="K77" s="41"/>
      <c r="L77" s="31"/>
    </row>
    <row r="78" spans="2:12" ht="22.5">
      <c r="B78" s="4" t="s">
        <v>18</v>
      </c>
      <c r="C78" s="11" t="s">
        <v>25</v>
      </c>
      <c r="D78" s="11" t="s">
        <v>55</v>
      </c>
      <c r="E78" s="11" t="s">
        <v>264</v>
      </c>
      <c r="F78" s="11" t="s">
        <v>154</v>
      </c>
      <c r="G78" s="19">
        <v>0</v>
      </c>
      <c r="H78" s="19">
        <v>0</v>
      </c>
      <c r="I78" s="19">
        <v>0</v>
      </c>
      <c r="J78" s="19"/>
      <c r="K78" s="41"/>
      <c r="L78" s="31"/>
    </row>
    <row r="79" spans="2:12" ht="12.75">
      <c r="B79" s="6" t="s">
        <v>214</v>
      </c>
      <c r="C79" s="10" t="s">
        <v>25</v>
      </c>
      <c r="D79" s="10" t="s">
        <v>72</v>
      </c>
      <c r="E79" s="10" t="s">
        <v>8</v>
      </c>
      <c r="F79" s="10" t="s">
        <v>213</v>
      </c>
      <c r="G79" s="21">
        <f>G82+G80</f>
        <v>1687615</v>
      </c>
      <c r="H79" s="21">
        <f>H82+H80</f>
        <v>0</v>
      </c>
      <c r="I79" s="21">
        <f>I82+I80</f>
        <v>0</v>
      </c>
      <c r="J79" s="21">
        <f>J82+J80</f>
        <v>202610.24</v>
      </c>
      <c r="K79" s="40"/>
      <c r="L79" s="34"/>
    </row>
    <row r="80" spans="2:12" ht="50.25" customHeight="1">
      <c r="B80" s="4" t="s">
        <v>228</v>
      </c>
      <c r="C80" s="13" t="s">
        <v>25</v>
      </c>
      <c r="D80" s="13" t="s">
        <v>72</v>
      </c>
      <c r="E80" s="13" t="s">
        <v>248</v>
      </c>
      <c r="F80" s="13" t="s">
        <v>11</v>
      </c>
      <c r="G80" s="27">
        <f>G81</f>
        <v>0</v>
      </c>
      <c r="H80" s="27">
        <f>H81</f>
        <v>0</v>
      </c>
      <c r="I80" s="27">
        <f>I81</f>
        <v>0</v>
      </c>
      <c r="J80" s="27">
        <f>J81</f>
        <v>0</v>
      </c>
      <c r="K80" s="40"/>
      <c r="L80" s="34"/>
    </row>
    <row r="81" spans="2:12" ht="12.75">
      <c r="B81" s="4" t="s">
        <v>219</v>
      </c>
      <c r="C81" s="13" t="s">
        <v>25</v>
      </c>
      <c r="D81" s="13" t="s">
        <v>72</v>
      </c>
      <c r="E81" s="13" t="s">
        <v>248</v>
      </c>
      <c r="F81" s="13" t="s">
        <v>203</v>
      </c>
      <c r="G81" s="27">
        <v>0</v>
      </c>
      <c r="H81" s="27">
        <v>0</v>
      </c>
      <c r="I81" s="27">
        <v>0</v>
      </c>
      <c r="J81" s="27"/>
      <c r="K81" s="40"/>
      <c r="L81" s="34"/>
    </row>
    <row r="82" spans="2:12" ht="66" customHeight="1">
      <c r="B82" s="4" t="s">
        <v>212</v>
      </c>
      <c r="C82" s="11" t="s">
        <v>25</v>
      </c>
      <c r="D82" s="11" t="s">
        <v>72</v>
      </c>
      <c r="E82" s="11" t="s">
        <v>266</v>
      </c>
      <c r="F82" s="11" t="s">
        <v>11</v>
      </c>
      <c r="G82" s="19">
        <f>G83+G84</f>
        <v>1687615</v>
      </c>
      <c r="H82" s="19">
        <f>H83+H84</f>
        <v>0</v>
      </c>
      <c r="I82" s="19">
        <f>I83+I84</f>
        <v>0</v>
      </c>
      <c r="J82" s="19">
        <f>J83+J84</f>
        <v>202610.24</v>
      </c>
      <c r="K82" s="41"/>
      <c r="L82" s="31"/>
    </row>
    <row r="83" spans="2:12" ht="22.5">
      <c r="B83" s="4" t="s">
        <v>18</v>
      </c>
      <c r="C83" s="11" t="s">
        <v>25</v>
      </c>
      <c r="D83" s="11" t="s">
        <v>72</v>
      </c>
      <c r="E83" s="11" t="s">
        <v>266</v>
      </c>
      <c r="F83" s="11" t="s">
        <v>154</v>
      </c>
      <c r="G83" s="19">
        <v>0</v>
      </c>
      <c r="H83" s="19">
        <v>0</v>
      </c>
      <c r="I83" s="19">
        <v>0</v>
      </c>
      <c r="J83" s="19"/>
      <c r="K83" s="41"/>
      <c r="L83" s="31"/>
    </row>
    <row r="84" spans="2:12" ht="31.5" customHeight="1">
      <c r="B84" s="4" t="s">
        <v>293</v>
      </c>
      <c r="C84" s="11" t="s">
        <v>25</v>
      </c>
      <c r="D84" s="11" t="s">
        <v>72</v>
      </c>
      <c r="E84" s="11" t="s">
        <v>266</v>
      </c>
      <c r="F84" s="11" t="s">
        <v>267</v>
      </c>
      <c r="G84" s="19">
        <v>1687615</v>
      </c>
      <c r="H84" s="19">
        <v>0</v>
      </c>
      <c r="I84" s="19">
        <v>0</v>
      </c>
      <c r="J84" s="19">
        <v>202610.24</v>
      </c>
      <c r="K84" s="41"/>
      <c r="L84" s="31"/>
    </row>
    <row r="85" spans="2:12" ht="24" customHeight="1">
      <c r="B85" s="6" t="s">
        <v>142</v>
      </c>
      <c r="C85" s="10" t="s">
        <v>25</v>
      </c>
      <c r="D85" s="10" t="s">
        <v>32</v>
      </c>
      <c r="E85" s="10" t="s">
        <v>33</v>
      </c>
      <c r="F85" s="10" t="s">
        <v>11</v>
      </c>
      <c r="G85" s="21">
        <f>G86+G88+G92+G90</f>
        <v>1404874.49</v>
      </c>
      <c r="H85" s="21">
        <f>H86+H88+H92+H90</f>
        <v>1450000</v>
      </c>
      <c r="I85" s="21">
        <f>I86+I88+I92+I90</f>
        <v>1600000</v>
      </c>
      <c r="J85" s="21">
        <f>J86+J88+J92+J90</f>
        <v>105604.49</v>
      </c>
      <c r="K85" s="40"/>
      <c r="L85" s="34"/>
    </row>
    <row r="86" spans="2:12" ht="22.5">
      <c r="B86" s="4" t="s">
        <v>143</v>
      </c>
      <c r="C86" s="11" t="s">
        <v>25</v>
      </c>
      <c r="D86" s="11" t="s">
        <v>32</v>
      </c>
      <c r="E86" s="11" t="s">
        <v>269</v>
      </c>
      <c r="F86" s="11" t="s">
        <v>11</v>
      </c>
      <c r="G86" s="19">
        <f>G87</f>
        <v>1204874.49</v>
      </c>
      <c r="H86" s="19">
        <f>H87</f>
        <v>1250000</v>
      </c>
      <c r="I86" s="19">
        <f>I87</f>
        <v>1400000</v>
      </c>
      <c r="J86" s="19">
        <f>J87</f>
        <v>105604.49</v>
      </c>
      <c r="K86" s="41"/>
      <c r="L86" s="31"/>
    </row>
    <row r="87" spans="2:12" ht="22.5">
      <c r="B87" s="4" t="s">
        <v>18</v>
      </c>
      <c r="C87" s="11" t="s">
        <v>25</v>
      </c>
      <c r="D87" s="11" t="s">
        <v>32</v>
      </c>
      <c r="E87" s="11" t="s">
        <v>269</v>
      </c>
      <c r="F87" s="11" t="s">
        <v>154</v>
      </c>
      <c r="G87" s="19">
        <v>1204874.49</v>
      </c>
      <c r="H87" s="19">
        <v>1250000</v>
      </c>
      <c r="I87" s="19">
        <v>1400000</v>
      </c>
      <c r="J87" s="19">
        <v>105604.49</v>
      </c>
      <c r="K87" s="41"/>
      <c r="L87" s="31"/>
    </row>
    <row r="88" spans="2:12" ht="12.75">
      <c r="B88" s="4" t="s">
        <v>218</v>
      </c>
      <c r="C88" s="11" t="s">
        <v>25</v>
      </c>
      <c r="D88" s="11" t="s">
        <v>32</v>
      </c>
      <c r="E88" s="11" t="s">
        <v>253</v>
      </c>
      <c r="F88" s="11" t="s">
        <v>11</v>
      </c>
      <c r="G88" s="19">
        <f>G89</f>
        <v>0</v>
      </c>
      <c r="H88" s="19">
        <f>H89</f>
        <v>0</v>
      </c>
      <c r="I88" s="19">
        <f>I89</f>
        <v>0</v>
      </c>
      <c r="J88" s="19">
        <f>J89</f>
        <v>0</v>
      </c>
      <c r="K88" s="41"/>
      <c r="L88" s="31"/>
    </row>
    <row r="89" spans="2:12" ht="22.5">
      <c r="B89" s="4" t="s">
        <v>18</v>
      </c>
      <c r="C89" s="11" t="s">
        <v>25</v>
      </c>
      <c r="D89" s="11" t="s">
        <v>32</v>
      </c>
      <c r="E89" s="11" t="s">
        <v>253</v>
      </c>
      <c r="F89" s="11" t="s">
        <v>154</v>
      </c>
      <c r="G89" s="19">
        <v>0</v>
      </c>
      <c r="H89" s="19">
        <v>0</v>
      </c>
      <c r="I89" s="19">
        <v>0</v>
      </c>
      <c r="J89" s="19"/>
      <c r="K89" s="41"/>
      <c r="L89" s="31"/>
    </row>
    <row r="90" spans="2:12" ht="56.25" customHeight="1">
      <c r="B90" s="4" t="s">
        <v>301</v>
      </c>
      <c r="C90" s="11" t="s">
        <v>25</v>
      </c>
      <c r="D90" s="11" t="s">
        <v>32</v>
      </c>
      <c r="E90" s="11" t="s">
        <v>300</v>
      </c>
      <c r="F90" s="11" t="s">
        <v>11</v>
      </c>
      <c r="G90" s="19">
        <f>G91</f>
        <v>0</v>
      </c>
      <c r="H90" s="19">
        <f>H91</f>
        <v>0</v>
      </c>
      <c r="I90" s="19">
        <f>I91</f>
        <v>0</v>
      </c>
      <c r="J90" s="19">
        <f>J91</f>
        <v>0</v>
      </c>
      <c r="K90" s="41"/>
      <c r="L90" s="31"/>
    </row>
    <row r="91" spans="2:12" ht="24" customHeight="1">
      <c r="B91" s="4" t="s">
        <v>18</v>
      </c>
      <c r="C91" s="11" t="s">
        <v>25</v>
      </c>
      <c r="D91" s="11" t="s">
        <v>32</v>
      </c>
      <c r="E91" s="11" t="s">
        <v>300</v>
      </c>
      <c r="F91" s="11" t="s">
        <v>154</v>
      </c>
      <c r="G91" s="19">
        <v>0</v>
      </c>
      <c r="H91" s="19">
        <v>0</v>
      </c>
      <c r="I91" s="19">
        <v>0</v>
      </c>
      <c r="J91" s="19">
        <v>0</v>
      </c>
      <c r="K91" s="41"/>
      <c r="L91" s="31"/>
    </row>
    <row r="92" spans="2:12" ht="22.5">
      <c r="B92" s="4" t="s">
        <v>58</v>
      </c>
      <c r="C92" s="11" t="s">
        <v>25</v>
      </c>
      <c r="D92" s="11" t="s">
        <v>32</v>
      </c>
      <c r="E92" s="11" t="s">
        <v>141</v>
      </c>
      <c r="F92" s="11" t="s">
        <v>11</v>
      </c>
      <c r="G92" s="17">
        <f>G93</f>
        <v>200000</v>
      </c>
      <c r="H92" s="17">
        <f>H93</f>
        <v>200000</v>
      </c>
      <c r="I92" s="17">
        <f>I93</f>
        <v>200000</v>
      </c>
      <c r="J92" s="17">
        <f>J93</f>
        <v>0</v>
      </c>
      <c r="K92" s="41"/>
      <c r="L92" s="31"/>
    </row>
    <row r="93" spans="2:12" ht="22.5">
      <c r="B93" s="4" t="s">
        <v>18</v>
      </c>
      <c r="C93" s="11" t="s">
        <v>25</v>
      </c>
      <c r="D93" s="11" t="s">
        <v>32</v>
      </c>
      <c r="E93" s="11" t="s">
        <v>152</v>
      </c>
      <c r="F93" s="11" t="s">
        <v>154</v>
      </c>
      <c r="G93" s="17">
        <v>200000</v>
      </c>
      <c r="H93" s="17">
        <v>200000</v>
      </c>
      <c r="I93" s="17">
        <v>200000</v>
      </c>
      <c r="J93" s="17"/>
      <c r="K93" s="41"/>
      <c r="L93" s="31"/>
    </row>
    <row r="94" spans="2:12" s="16" customFormat="1" ht="13.5" customHeight="1">
      <c r="B94" s="7" t="s">
        <v>215</v>
      </c>
      <c r="C94" s="9" t="s">
        <v>27</v>
      </c>
      <c r="D94" s="9" t="s">
        <v>10</v>
      </c>
      <c r="E94" s="9" t="s">
        <v>33</v>
      </c>
      <c r="F94" s="9" t="s">
        <v>11</v>
      </c>
      <c r="G94" s="24">
        <f>G95+G111+G118+G125</f>
        <v>51071988.53</v>
      </c>
      <c r="H94" s="24">
        <f>H95+H111+H118+H125</f>
        <v>170300</v>
      </c>
      <c r="I94" s="24">
        <f>I95+I111+I118+I125</f>
        <v>184300</v>
      </c>
      <c r="J94" s="24">
        <f>J95+J111+J118+J125</f>
        <v>48611510.53</v>
      </c>
      <c r="K94" s="38"/>
      <c r="L94" s="39"/>
    </row>
    <row r="95" spans="2:12" ht="12.75">
      <c r="B95" s="6" t="s">
        <v>216</v>
      </c>
      <c r="C95" s="10" t="s">
        <v>27</v>
      </c>
      <c r="D95" s="10" t="s">
        <v>9</v>
      </c>
      <c r="E95" s="10" t="s">
        <v>8</v>
      </c>
      <c r="F95" s="10" t="s">
        <v>11</v>
      </c>
      <c r="G95" s="21">
        <f>G96+G98+G102+G104+G108+G100+G106</f>
        <v>1802607.9499999997</v>
      </c>
      <c r="H95" s="21">
        <f>H96+H98+H102+H104+H108+H100+H106</f>
        <v>0</v>
      </c>
      <c r="I95" s="21">
        <f>I96+I98+I102+I104+I108+I100+I106</f>
        <v>0</v>
      </c>
      <c r="J95" s="21">
        <f>J96+J98+J102+J104+J108+J100+J106</f>
        <v>1802607.95</v>
      </c>
      <c r="K95" s="40"/>
      <c r="L95" s="34"/>
    </row>
    <row r="96" spans="2:12" ht="69" customHeight="1">
      <c r="B96" s="28" t="s">
        <v>297</v>
      </c>
      <c r="C96" s="15" t="s">
        <v>27</v>
      </c>
      <c r="D96" s="15" t="s">
        <v>9</v>
      </c>
      <c r="E96" s="15" t="s">
        <v>296</v>
      </c>
      <c r="F96" s="15" t="s">
        <v>11</v>
      </c>
      <c r="G96" s="27">
        <f>G97</f>
        <v>1073510.38</v>
      </c>
      <c r="H96" s="27">
        <f>H97</f>
        <v>0</v>
      </c>
      <c r="I96" s="27">
        <f>I97</f>
        <v>0</v>
      </c>
      <c r="J96" s="27">
        <f>J97</f>
        <v>1073510.38</v>
      </c>
      <c r="K96" s="32"/>
      <c r="L96" s="33"/>
    </row>
    <row r="97" spans="2:12" ht="12.75">
      <c r="B97" s="4" t="s">
        <v>56</v>
      </c>
      <c r="C97" s="15" t="s">
        <v>27</v>
      </c>
      <c r="D97" s="15" t="s">
        <v>9</v>
      </c>
      <c r="E97" s="15" t="s">
        <v>296</v>
      </c>
      <c r="F97" s="15" t="s">
        <v>57</v>
      </c>
      <c r="G97" s="27">
        <v>1073510.38</v>
      </c>
      <c r="H97" s="27">
        <v>0</v>
      </c>
      <c r="I97" s="27">
        <v>0</v>
      </c>
      <c r="J97" s="27">
        <f>456397.37+617113.01</f>
        <v>1073510.38</v>
      </c>
      <c r="K97" s="32"/>
      <c r="L97" s="33"/>
    </row>
    <row r="98" spans="2:12" ht="44.25" customHeight="1">
      <c r="B98" s="4" t="s">
        <v>291</v>
      </c>
      <c r="C98" s="15" t="s">
        <v>27</v>
      </c>
      <c r="D98" s="15" t="s">
        <v>9</v>
      </c>
      <c r="E98" s="15" t="s">
        <v>290</v>
      </c>
      <c r="F98" s="15" t="s">
        <v>11</v>
      </c>
      <c r="G98" s="27">
        <f>G99</f>
        <v>729097.57</v>
      </c>
      <c r="H98" s="27">
        <f>H99</f>
        <v>0</v>
      </c>
      <c r="I98" s="27">
        <f>I99</f>
        <v>0</v>
      </c>
      <c r="J98" s="27">
        <f>J99</f>
        <v>729097.5700000001</v>
      </c>
      <c r="K98" s="32"/>
      <c r="L98" s="33"/>
    </row>
    <row r="99" spans="2:12" ht="12.75">
      <c r="B99" s="4" t="s">
        <v>56</v>
      </c>
      <c r="C99" s="15" t="s">
        <v>27</v>
      </c>
      <c r="D99" s="15" t="s">
        <v>9</v>
      </c>
      <c r="E99" s="15" t="s">
        <v>290</v>
      </c>
      <c r="F99" s="15" t="s">
        <v>57</v>
      </c>
      <c r="G99" s="27">
        <v>729097.57</v>
      </c>
      <c r="H99" s="27">
        <v>0</v>
      </c>
      <c r="I99" s="27">
        <v>0</v>
      </c>
      <c r="J99" s="27">
        <f>377881.37+351216.2</f>
        <v>729097.5700000001</v>
      </c>
      <c r="K99" s="32"/>
      <c r="L99" s="33"/>
    </row>
    <row r="100" spans="2:12" ht="29.25" customHeight="1">
      <c r="B100" s="4" t="s">
        <v>217</v>
      </c>
      <c r="C100" s="15" t="s">
        <v>27</v>
      </c>
      <c r="D100" s="15" t="s">
        <v>9</v>
      </c>
      <c r="E100" s="15" t="s">
        <v>313</v>
      </c>
      <c r="F100" s="15" t="s">
        <v>11</v>
      </c>
      <c r="G100" s="27">
        <f>G101</f>
        <v>0</v>
      </c>
      <c r="H100" s="27">
        <f>H101</f>
        <v>0</v>
      </c>
      <c r="I100" s="27">
        <f>I101</f>
        <v>0</v>
      </c>
      <c r="J100" s="27">
        <f>J101</f>
        <v>0</v>
      </c>
      <c r="K100" s="32"/>
      <c r="L100" s="33"/>
    </row>
    <row r="101" spans="2:12" ht="12.75">
      <c r="B101" s="4" t="s">
        <v>56</v>
      </c>
      <c r="C101" s="15" t="s">
        <v>27</v>
      </c>
      <c r="D101" s="15" t="s">
        <v>9</v>
      </c>
      <c r="E101" s="15" t="s">
        <v>313</v>
      </c>
      <c r="F101" s="15" t="s">
        <v>57</v>
      </c>
      <c r="G101" s="27">
        <v>0</v>
      </c>
      <c r="H101" s="27">
        <v>0</v>
      </c>
      <c r="I101" s="27">
        <v>0</v>
      </c>
      <c r="J101" s="27"/>
      <c r="K101" s="32"/>
      <c r="L101" s="33"/>
    </row>
    <row r="102" spans="2:12" ht="23.25" customHeight="1">
      <c r="B102" s="4" t="s">
        <v>217</v>
      </c>
      <c r="C102" s="11" t="s">
        <v>27</v>
      </c>
      <c r="D102" s="11" t="s">
        <v>9</v>
      </c>
      <c r="E102" s="11" t="s">
        <v>313</v>
      </c>
      <c r="F102" s="11" t="s">
        <v>11</v>
      </c>
      <c r="G102" s="17">
        <f>G103</f>
        <v>0</v>
      </c>
      <c r="H102" s="17">
        <f>H103</f>
        <v>0</v>
      </c>
      <c r="I102" s="17">
        <f>I103</f>
        <v>0</v>
      </c>
      <c r="J102" s="17">
        <f>J103</f>
        <v>0</v>
      </c>
      <c r="K102" s="41"/>
      <c r="L102" s="31"/>
    </row>
    <row r="103" spans="2:12" ht="22.5">
      <c r="B103" s="4" t="s">
        <v>18</v>
      </c>
      <c r="C103" s="11" t="s">
        <v>27</v>
      </c>
      <c r="D103" s="11" t="s">
        <v>9</v>
      </c>
      <c r="E103" s="11" t="s">
        <v>313</v>
      </c>
      <c r="F103" s="11" t="s">
        <v>154</v>
      </c>
      <c r="G103" s="17">
        <v>0</v>
      </c>
      <c r="H103" s="17">
        <v>0</v>
      </c>
      <c r="I103" s="17">
        <v>0</v>
      </c>
      <c r="J103" s="17"/>
      <c r="K103" s="41"/>
      <c r="L103" s="31"/>
    </row>
    <row r="104" spans="2:12" ht="12.75">
      <c r="B104" s="4" t="s">
        <v>218</v>
      </c>
      <c r="C104" s="11" t="s">
        <v>27</v>
      </c>
      <c r="D104" s="11" t="s">
        <v>9</v>
      </c>
      <c r="E104" s="11" t="s">
        <v>253</v>
      </c>
      <c r="F104" s="11" t="s">
        <v>11</v>
      </c>
      <c r="G104" s="17">
        <f>G105</f>
        <v>0</v>
      </c>
      <c r="H104" s="17">
        <f>H105</f>
        <v>0</v>
      </c>
      <c r="I104" s="17">
        <f>I105</f>
        <v>0</v>
      </c>
      <c r="J104" s="17">
        <f>J105</f>
        <v>0</v>
      </c>
      <c r="K104" s="41"/>
      <c r="L104" s="31"/>
    </row>
    <row r="105" spans="2:12" ht="12.75">
      <c r="B105" s="4" t="s">
        <v>219</v>
      </c>
      <c r="C105" s="11" t="s">
        <v>27</v>
      </c>
      <c r="D105" s="11" t="s">
        <v>9</v>
      </c>
      <c r="E105" s="11" t="s">
        <v>253</v>
      </c>
      <c r="F105" s="11" t="s">
        <v>203</v>
      </c>
      <c r="G105" s="17">
        <v>0</v>
      </c>
      <c r="H105" s="17">
        <v>0</v>
      </c>
      <c r="I105" s="17">
        <v>0</v>
      </c>
      <c r="J105" s="17"/>
      <c r="K105" s="41"/>
      <c r="L105" s="31"/>
    </row>
    <row r="106" spans="2:12" ht="20.25" customHeight="1">
      <c r="B106" s="28" t="s">
        <v>218</v>
      </c>
      <c r="C106" s="11" t="s">
        <v>27</v>
      </c>
      <c r="D106" s="11" t="s">
        <v>9</v>
      </c>
      <c r="E106" s="11" t="s">
        <v>253</v>
      </c>
      <c r="F106" s="11" t="s">
        <v>11</v>
      </c>
      <c r="G106" s="17">
        <f>G107</f>
        <v>0</v>
      </c>
      <c r="H106" s="17">
        <f>H107</f>
        <v>0</v>
      </c>
      <c r="I106" s="17">
        <f>I107</f>
        <v>0</v>
      </c>
      <c r="J106" s="17">
        <f>J107</f>
        <v>0</v>
      </c>
      <c r="K106" s="41"/>
      <c r="L106" s="31"/>
    </row>
    <row r="107" spans="2:12" ht="12.75">
      <c r="B107" s="4" t="s">
        <v>56</v>
      </c>
      <c r="C107" s="11" t="s">
        <v>27</v>
      </c>
      <c r="D107" s="11" t="s">
        <v>9</v>
      </c>
      <c r="E107" s="11" t="s">
        <v>253</v>
      </c>
      <c r="F107" s="11" t="s">
        <v>57</v>
      </c>
      <c r="G107" s="17">
        <v>0</v>
      </c>
      <c r="H107" s="17">
        <v>0</v>
      </c>
      <c r="I107" s="17">
        <v>0</v>
      </c>
      <c r="J107" s="17">
        <v>0</v>
      </c>
      <c r="K107" s="41"/>
      <c r="L107" s="31"/>
    </row>
    <row r="108" spans="2:12" ht="24.75" customHeight="1">
      <c r="B108" s="4" t="s">
        <v>221</v>
      </c>
      <c r="C108" s="11" t="s">
        <v>27</v>
      </c>
      <c r="D108" s="11" t="s">
        <v>9</v>
      </c>
      <c r="E108" s="11" t="s">
        <v>51</v>
      </c>
      <c r="F108" s="11" t="s">
        <v>11</v>
      </c>
      <c r="G108" s="17">
        <f>G109+G110</f>
        <v>0</v>
      </c>
      <c r="H108" s="17">
        <f>H109+H110</f>
        <v>0</v>
      </c>
      <c r="I108" s="17">
        <f>I109+I110</f>
        <v>0</v>
      </c>
      <c r="J108" s="17">
        <f>J109+J110</f>
        <v>0</v>
      </c>
      <c r="K108" s="41"/>
      <c r="L108" s="31"/>
    </row>
    <row r="109" spans="2:12" ht="12.75">
      <c r="B109" s="4" t="s">
        <v>219</v>
      </c>
      <c r="C109" s="11" t="s">
        <v>27</v>
      </c>
      <c r="D109" s="11" t="s">
        <v>9</v>
      </c>
      <c r="E109" s="11" t="s">
        <v>51</v>
      </c>
      <c r="F109" s="11" t="s">
        <v>203</v>
      </c>
      <c r="G109" s="17">
        <v>0</v>
      </c>
      <c r="H109" s="17">
        <v>0</v>
      </c>
      <c r="I109" s="17">
        <v>0</v>
      </c>
      <c r="J109" s="17"/>
      <c r="K109" s="41"/>
      <c r="L109" s="31"/>
    </row>
    <row r="110" spans="2:12" s="48" customFormat="1" ht="22.5">
      <c r="B110" s="28" t="s">
        <v>18</v>
      </c>
      <c r="C110" s="29" t="s">
        <v>27</v>
      </c>
      <c r="D110" s="29" t="s">
        <v>9</v>
      </c>
      <c r="E110" s="29" t="s">
        <v>51</v>
      </c>
      <c r="F110" s="29" t="s">
        <v>154</v>
      </c>
      <c r="G110" s="25">
        <v>0</v>
      </c>
      <c r="H110" s="25">
        <v>0</v>
      </c>
      <c r="I110" s="25">
        <v>0</v>
      </c>
      <c r="J110" s="25">
        <v>0</v>
      </c>
      <c r="K110" s="46"/>
      <c r="L110" s="47"/>
    </row>
    <row r="111" spans="2:12" ht="12.75">
      <c r="B111" s="6" t="s">
        <v>222</v>
      </c>
      <c r="C111" s="10" t="s">
        <v>27</v>
      </c>
      <c r="D111" s="10" t="s">
        <v>13</v>
      </c>
      <c r="E111" s="10" t="s">
        <v>8</v>
      </c>
      <c r="F111" s="10" t="s">
        <v>11</v>
      </c>
      <c r="G111" s="21">
        <f>G114+G112+G116</f>
        <v>108055</v>
      </c>
      <c r="H111" s="21">
        <f>H114+H112+H116</f>
        <v>0</v>
      </c>
      <c r="I111" s="21">
        <f>I114+I112+I116</f>
        <v>0</v>
      </c>
      <c r="J111" s="21">
        <f>J114+J112+J116</f>
        <v>108055</v>
      </c>
      <c r="K111" s="40"/>
      <c r="L111" s="34"/>
    </row>
    <row r="112" spans="2:12" ht="22.5">
      <c r="B112" s="28" t="s">
        <v>223</v>
      </c>
      <c r="C112" s="13" t="s">
        <v>27</v>
      </c>
      <c r="D112" s="13" t="s">
        <v>13</v>
      </c>
      <c r="E112" s="13" t="s">
        <v>314</v>
      </c>
      <c r="F112" s="13" t="s">
        <v>11</v>
      </c>
      <c r="G112" s="27">
        <f>G113</f>
        <v>0</v>
      </c>
      <c r="H112" s="27">
        <f>H113</f>
        <v>0</v>
      </c>
      <c r="I112" s="27">
        <f>I113</f>
        <v>0</v>
      </c>
      <c r="J112" s="27">
        <f>J113</f>
        <v>0</v>
      </c>
      <c r="K112" s="40"/>
      <c r="L112" s="34"/>
    </row>
    <row r="113" spans="2:12" ht="12.75">
      <c r="B113" s="4" t="s">
        <v>56</v>
      </c>
      <c r="C113" s="13" t="s">
        <v>27</v>
      </c>
      <c r="D113" s="13" t="s">
        <v>13</v>
      </c>
      <c r="E113" s="13" t="s">
        <v>314</v>
      </c>
      <c r="F113" s="13" t="s">
        <v>57</v>
      </c>
      <c r="G113" s="27">
        <v>0</v>
      </c>
      <c r="H113" s="27">
        <v>0</v>
      </c>
      <c r="I113" s="27">
        <v>0</v>
      </c>
      <c r="J113" s="27"/>
      <c r="K113" s="40"/>
      <c r="L113" s="34"/>
    </row>
    <row r="114" spans="2:12" ht="21.75" customHeight="1">
      <c r="B114" s="4" t="s">
        <v>223</v>
      </c>
      <c r="C114" s="11" t="s">
        <v>27</v>
      </c>
      <c r="D114" s="11" t="s">
        <v>13</v>
      </c>
      <c r="E114" s="11" t="s">
        <v>314</v>
      </c>
      <c r="F114" s="11" t="s">
        <v>11</v>
      </c>
      <c r="G114" s="19">
        <f>G115</f>
        <v>108055</v>
      </c>
      <c r="H114" s="19">
        <f>H115</f>
        <v>0</v>
      </c>
      <c r="I114" s="19">
        <f>I115</f>
        <v>0</v>
      </c>
      <c r="J114" s="19">
        <f>J115</f>
        <v>108055</v>
      </c>
      <c r="K114" s="41"/>
      <c r="L114" s="31"/>
    </row>
    <row r="115" spans="2:12" ht="22.5">
      <c r="B115" s="4" t="s">
        <v>18</v>
      </c>
      <c r="C115" s="11" t="s">
        <v>201</v>
      </c>
      <c r="D115" s="11" t="s">
        <v>13</v>
      </c>
      <c r="E115" s="11" t="s">
        <v>314</v>
      </c>
      <c r="F115" s="11" t="s">
        <v>154</v>
      </c>
      <c r="G115" s="17">
        <v>108055</v>
      </c>
      <c r="H115" s="17">
        <v>0</v>
      </c>
      <c r="I115" s="17">
        <v>0</v>
      </c>
      <c r="J115" s="17">
        <f>100000+8055</f>
        <v>108055</v>
      </c>
      <c r="K115" s="41"/>
      <c r="L115" s="31"/>
    </row>
    <row r="116" spans="2:12" ht="56.25" customHeight="1">
      <c r="B116" s="28" t="s">
        <v>301</v>
      </c>
      <c r="C116" s="11" t="s">
        <v>27</v>
      </c>
      <c r="D116" s="11" t="s">
        <v>13</v>
      </c>
      <c r="E116" s="11" t="s">
        <v>300</v>
      </c>
      <c r="F116" s="11" t="s">
        <v>11</v>
      </c>
      <c r="G116" s="17">
        <f>G117</f>
        <v>0</v>
      </c>
      <c r="H116" s="17">
        <f>H117</f>
        <v>0</v>
      </c>
      <c r="I116" s="17">
        <f>I117</f>
        <v>0</v>
      </c>
      <c r="J116" s="17">
        <f>J117</f>
        <v>0</v>
      </c>
      <c r="K116" s="41"/>
      <c r="L116" s="31"/>
    </row>
    <row r="117" spans="2:12" ht="12.75">
      <c r="B117" s="4" t="s">
        <v>56</v>
      </c>
      <c r="C117" s="11" t="s">
        <v>27</v>
      </c>
      <c r="D117" s="11" t="s">
        <v>13</v>
      </c>
      <c r="E117" s="11" t="s">
        <v>300</v>
      </c>
      <c r="F117" s="11" t="s">
        <v>57</v>
      </c>
      <c r="G117" s="17">
        <v>0</v>
      </c>
      <c r="H117" s="17">
        <v>0</v>
      </c>
      <c r="I117" s="17">
        <v>0</v>
      </c>
      <c r="J117" s="17"/>
      <c r="K117" s="41"/>
      <c r="L117" s="31"/>
    </row>
    <row r="118" spans="2:12" s="8" customFormat="1" ht="12.75">
      <c r="B118" s="6" t="s">
        <v>224</v>
      </c>
      <c r="C118" s="10" t="s">
        <v>27</v>
      </c>
      <c r="D118" s="10" t="s">
        <v>19</v>
      </c>
      <c r="E118" s="10" t="s">
        <v>8</v>
      </c>
      <c r="F118" s="10" t="s">
        <v>11</v>
      </c>
      <c r="G118" s="21">
        <f>G119+G121+G123</f>
        <v>3308768</v>
      </c>
      <c r="H118" s="21">
        <f>H119+H121+H123</f>
        <v>170300</v>
      </c>
      <c r="I118" s="21">
        <f>I119+I121+I123</f>
        <v>184300</v>
      </c>
      <c r="J118" s="21">
        <f>J119+J121+J123</f>
        <v>848290</v>
      </c>
      <c r="K118" s="40"/>
      <c r="L118" s="34"/>
    </row>
    <row r="119" spans="2:12" s="8" customFormat="1" ht="21.75" customHeight="1">
      <c r="B119" s="28" t="s">
        <v>293</v>
      </c>
      <c r="C119" s="15" t="s">
        <v>27</v>
      </c>
      <c r="D119" s="15" t="s">
        <v>19</v>
      </c>
      <c r="E119" s="15" t="s">
        <v>266</v>
      </c>
      <c r="F119" s="15" t="s">
        <v>11</v>
      </c>
      <c r="G119" s="27">
        <f>G120</f>
        <v>3145922</v>
      </c>
      <c r="H119" s="27">
        <f>H120</f>
        <v>0</v>
      </c>
      <c r="I119" s="27">
        <f>I120</f>
        <v>0</v>
      </c>
      <c r="J119" s="27">
        <f>J120</f>
        <v>844644</v>
      </c>
      <c r="K119" s="32"/>
      <c r="L119" s="33"/>
    </row>
    <row r="120" spans="2:12" s="8" customFormat="1" ht="57" customHeight="1">
      <c r="B120" s="28" t="s">
        <v>268</v>
      </c>
      <c r="C120" s="15" t="s">
        <v>27</v>
      </c>
      <c r="D120" s="15" t="s">
        <v>19</v>
      </c>
      <c r="E120" s="15" t="s">
        <v>266</v>
      </c>
      <c r="F120" s="15" t="s">
        <v>267</v>
      </c>
      <c r="G120" s="27">
        <v>3145922</v>
      </c>
      <c r="H120" s="27">
        <v>0</v>
      </c>
      <c r="I120" s="27">
        <v>0</v>
      </c>
      <c r="J120" s="27">
        <f>844644</f>
        <v>844644</v>
      </c>
      <c r="K120" s="32"/>
      <c r="L120" s="31"/>
    </row>
    <row r="121" spans="2:12" s="8" customFormat="1" ht="56.25" customHeight="1">
      <c r="B121" s="4" t="s">
        <v>225</v>
      </c>
      <c r="C121" s="13" t="s">
        <v>27</v>
      </c>
      <c r="D121" s="13" t="s">
        <v>19</v>
      </c>
      <c r="E121" s="13" t="s">
        <v>204</v>
      </c>
      <c r="F121" s="13" t="s">
        <v>11</v>
      </c>
      <c r="G121" s="27">
        <f>G122</f>
        <v>0</v>
      </c>
      <c r="H121" s="27">
        <f>H122</f>
        <v>0</v>
      </c>
      <c r="I121" s="27">
        <f>I122</f>
        <v>0</v>
      </c>
      <c r="J121" s="27">
        <f>J122</f>
        <v>0</v>
      </c>
      <c r="K121" s="32"/>
      <c r="L121" s="34"/>
    </row>
    <row r="122" spans="2:12" ht="22.5">
      <c r="B122" s="4" t="s">
        <v>18</v>
      </c>
      <c r="C122" s="11" t="s">
        <v>201</v>
      </c>
      <c r="D122" s="11" t="s">
        <v>19</v>
      </c>
      <c r="E122" s="11" t="s">
        <v>204</v>
      </c>
      <c r="F122" s="11" t="s">
        <v>154</v>
      </c>
      <c r="G122" s="17">
        <v>0</v>
      </c>
      <c r="H122" s="17">
        <v>0</v>
      </c>
      <c r="I122" s="17">
        <v>0</v>
      </c>
      <c r="J122" s="17"/>
      <c r="K122" s="41"/>
      <c r="L122" s="31"/>
    </row>
    <row r="123" spans="2:12" ht="35.25" customHeight="1">
      <c r="B123" s="4" t="s">
        <v>226</v>
      </c>
      <c r="C123" s="11" t="s">
        <v>27</v>
      </c>
      <c r="D123" s="11" t="s">
        <v>19</v>
      </c>
      <c r="E123" s="11" t="s">
        <v>205</v>
      </c>
      <c r="F123" s="11" t="s">
        <v>11</v>
      </c>
      <c r="G123" s="17">
        <f>G124</f>
        <v>162846</v>
      </c>
      <c r="H123" s="17">
        <f>H124</f>
        <v>170300</v>
      </c>
      <c r="I123" s="17">
        <f>I124</f>
        <v>184300</v>
      </c>
      <c r="J123" s="17">
        <f>J124</f>
        <v>3646</v>
      </c>
      <c r="K123" s="41"/>
      <c r="L123" s="31"/>
    </row>
    <row r="124" spans="2:12" ht="22.5">
      <c r="B124" s="4" t="s">
        <v>18</v>
      </c>
      <c r="C124" s="11" t="s">
        <v>27</v>
      </c>
      <c r="D124" s="11" t="s">
        <v>19</v>
      </c>
      <c r="E124" s="11" t="s">
        <v>205</v>
      </c>
      <c r="F124" s="11" t="s">
        <v>154</v>
      </c>
      <c r="G124" s="17">
        <v>162846</v>
      </c>
      <c r="H124" s="17">
        <v>170300</v>
      </c>
      <c r="I124" s="17">
        <v>184300</v>
      </c>
      <c r="J124" s="17">
        <f>3646</f>
        <v>3646</v>
      </c>
      <c r="K124" s="41"/>
      <c r="L124" s="31"/>
    </row>
    <row r="125" spans="2:12" ht="23.25" customHeight="1">
      <c r="B125" s="6" t="s">
        <v>227</v>
      </c>
      <c r="C125" s="10" t="s">
        <v>27</v>
      </c>
      <c r="D125" s="10" t="s">
        <v>27</v>
      </c>
      <c r="E125" s="10" t="s">
        <v>144</v>
      </c>
      <c r="F125" s="10" t="s">
        <v>11</v>
      </c>
      <c r="G125" s="21">
        <f>G126+G128+G130+G132+G137+G139</f>
        <v>45852557.58</v>
      </c>
      <c r="H125" s="21">
        <f>H126+H128+H130+H132+H137+H139</f>
        <v>0</v>
      </c>
      <c r="I125" s="21">
        <f>I126+I128+I130+I132+I137+I139</f>
        <v>0</v>
      </c>
      <c r="J125" s="21">
        <f>J126+J128+J130+J132+J137+J139</f>
        <v>45852557.58</v>
      </c>
      <c r="K125" s="40"/>
      <c r="L125" s="34"/>
    </row>
    <row r="126" spans="2:12" ht="33.75" customHeight="1">
      <c r="B126" s="4" t="s">
        <v>228</v>
      </c>
      <c r="C126" s="11" t="s">
        <v>27</v>
      </c>
      <c r="D126" s="11" t="s">
        <v>27</v>
      </c>
      <c r="E126" s="11" t="s">
        <v>206</v>
      </c>
      <c r="F126" s="11" t="s">
        <v>11</v>
      </c>
      <c r="G126" s="17">
        <f>G127</f>
        <v>3551086.18</v>
      </c>
      <c r="H126" s="17">
        <f>H127</f>
        <v>0</v>
      </c>
      <c r="I126" s="17">
        <f>I127</f>
        <v>0</v>
      </c>
      <c r="J126" s="17">
        <f>J127</f>
        <v>3551086.18</v>
      </c>
      <c r="K126" s="41"/>
      <c r="L126" s="31"/>
    </row>
    <row r="127" spans="2:12" ht="12.75">
      <c r="B127" s="4" t="s">
        <v>219</v>
      </c>
      <c r="C127" s="11" t="s">
        <v>27</v>
      </c>
      <c r="D127" s="11" t="s">
        <v>27</v>
      </c>
      <c r="E127" s="11" t="s">
        <v>248</v>
      </c>
      <c r="F127" s="11" t="s">
        <v>203</v>
      </c>
      <c r="G127" s="17">
        <v>3551086.18</v>
      </c>
      <c r="H127" s="17">
        <v>0</v>
      </c>
      <c r="I127" s="17">
        <v>0</v>
      </c>
      <c r="J127" s="17">
        <f>65000+3486086.18</f>
        <v>3551086.18</v>
      </c>
      <c r="K127" s="41"/>
      <c r="L127" s="31"/>
    </row>
    <row r="128" spans="2:12" ht="45" customHeight="1">
      <c r="B128" s="4" t="s">
        <v>299</v>
      </c>
      <c r="C128" s="11" t="s">
        <v>27</v>
      </c>
      <c r="D128" s="11" t="s">
        <v>27</v>
      </c>
      <c r="E128" s="11" t="s">
        <v>298</v>
      </c>
      <c r="F128" s="11" t="s">
        <v>11</v>
      </c>
      <c r="G128" s="17">
        <f>G129</f>
        <v>0</v>
      </c>
      <c r="H128" s="17">
        <f>H129</f>
        <v>0</v>
      </c>
      <c r="I128" s="17">
        <f>I129</f>
        <v>0</v>
      </c>
      <c r="J128" s="17">
        <f>J129</f>
        <v>0</v>
      </c>
      <c r="K128" s="41"/>
      <c r="L128" s="31"/>
    </row>
    <row r="129" spans="2:12" ht="12.75">
      <c r="B129" s="4" t="s">
        <v>219</v>
      </c>
      <c r="C129" s="11" t="s">
        <v>27</v>
      </c>
      <c r="D129" s="11" t="s">
        <v>27</v>
      </c>
      <c r="E129" s="11" t="s">
        <v>298</v>
      </c>
      <c r="F129" s="11" t="s">
        <v>203</v>
      </c>
      <c r="G129" s="17">
        <v>0</v>
      </c>
      <c r="H129" s="17">
        <v>0</v>
      </c>
      <c r="I129" s="17">
        <v>0</v>
      </c>
      <c r="J129" s="17">
        <v>0</v>
      </c>
      <c r="K129" s="41"/>
      <c r="L129" s="31"/>
    </row>
    <row r="130" spans="2:12" ht="24.75" customHeight="1">
      <c r="B130" s="4" t="s">
        <v>230</v>
      </c>
      <c r="C130" s="11" t="s">
        <v>27</v>
      </c>
      <c r="D130" s="11" t="s">
        <v>27</v>
      </c>
      <c r="E130" s="11" t="s">
        <v>229</v>
      </c>
      <c r="F130" s="11" t="s">
        <v>11</v>
      </c>
      <c r="G130" s="17">
        <f>G131</f>
        <v>0</v>
      </c>
      <c r="H130" s="17">
        <f>H131</f>
        <v>0</v>
      </c>
      <c r="I130" s="17">
        <f>I131</f>
        <v>0</v>
      </c>
      <c r="J130" s="17">
        <f>J131</f>
        <v>0</v>
      </c>
      <c r="K130" s="41"/>
      <c r="L130" s="31"/>
    </row>
    <row r="131" spans="2:12" ht="14.25" customHeight="1">
      <c r="B131" s="4" t="s">
        <v>219</v>
      </c>
      <c r="C131" s="11" t="s">
        <v>27</v>
      </c>
      <c r="D131" s="11" t="s">
        <v>27</v>
      </c>
      <c r="E131" s="11" t="s">
        <v>231</v>
      </c>
      <c r="F131" s="11" t="s">
        <v>203</v>
      </c>
      <c r="G131" s="17">
        <v>0</v>
      </c>
      <c r="H131" s="17">
        <v>0</v>
      </c>
      <c r="I131" s="17">
        <v>0</v>
      </c>
      <c r="J131" s="17">
        <v>0</v>
      </c>
      <c r="K131" s="41"/>
      <c r="L131" s="31"/>
    </row>
    <row r="132" spans="2:12" ht="14.25" customHeight="1">
      <c r="B132" s="4" t="s">
        <v>218</v>
      </c>
      <c r="C132" s="11" t="s">
        <v>27</v>
      </c>
      <c r="D132" s="11" t="s">
        <v>27</v>
      </c>
      <c r="E132" s="11" t="s">
        <v>202</v>
      </c>
      <c r="F132" s="11" t="s">
        <v>11</v>
      </c>
      <c r="G132" s="17">
        <f>G133+G134+G135</f>
        <v>36969642.96</v>
      </c>
      <c r="H132" s="17">
        <f>H133+H134+H135</f>
        <v>0</v>
      </c>
      <c r="I132" s="17">
        <f>I133+I134+I135</f>
        <v>0</v>
      </c>
      <c r="J132" s="17">
        <f>J133+J134+J135</f>
        <v>36969642.96</v>
      </c>
      <c r="K132" s="41"/>
      <c r="L132" s="31"/>
    </row>
    <row r="133" spans="2:12" ht="14.25" customHeight="1">
      <c r="B133" s="4" t="s">
        <v>219</v>
      </c>
      <c r="C133" s="11" t="s">
        <v>27</v>
      </c>
      <c r="D133" s="11" t="s">
        <v>27</v>
      </c>
      <c r="E133" s="11" t="s">
        <v>232</v>
      </c>
      <c r="F133" s="11" t="s">
        <v>203</v>
      </c>
      <c r="G133" s="49">
        <v>2428199.3</v>
      </c>
      <c r="H133" s="49">
        <v>0</v>
      </c>
      <c r="I133" s="49">
        <v>0</v>
      </c>
      <c r="J133" s="49">
        <v>2428199.3</v>
      </c>
      <c r="K133" s="41"/>
      <c r="L133" s="43"/>
    </row>
    <row r="134" spans="2:12" ht="22.5" customHeight="1">
      <c r="B134" s="4" t="s">
        <v>18</v>
      </c>
      <c r="C134" s="11" t="s">
        <v>27</v>
      </c>
      <c r="D134" s="11" t="s">
        <v>27</v>
      </c>
      <c r="E134" s="11" t="s">
        <v>253</v>
      </c>
      <c r="F134" s="11" t="s">
        <v>154</v>
      </c>
      <c r="G134" s="17">
        <v>0</v>
      </c>
      <c r="H134" s="17">
        <v>0</v>
      </c>
      <c r="I134" s="17">
        <v>0</v>
      </c>
      <c r="J134" s="17"/>
      <c r="K134" s="41"/>
      <c r="L134" s="31"/>
    </row>
    <row r="135" spans="2:12" ht="59.25" customHeight="1">
      <c r="B135" s="4" t="s">
        <v>301</v>
      </c>
      <c r="C135" s="11" t="s">
        <v>27</v>
      </c>
      <c r="D135" s="11" t="s">
        <v>27</v>
      </c>
      <c r="E135" s="11" t="s">
        <v>300</v>
      </c>
      <c r="F135" s="11" t="s">
        <v>11</v>
      </c>
      <c r="G135" s="17">
        <f>G136</f>
        <v>34541443.660000004</v>
      </c>
      <c r="H135" s="17">
        <f>H136</f>
        <v>0</v>
      </c>
      <c r="I135" s="17">
        <f>I136</f>
        <v>0</v>
      </c>
      <c r="J135" s="17">
        <f>J136</f>
        <v>34541443.660000004</v>
      </c>
      <c r="K135" s="41"/>
      <c r="L135" s="31"/>
    </row>
    <row r="136" spans="2:12" ht="12" customHeight="1">
      <c r="B136" s="4" t="s">
        <v>219</v>
      </c>
      <c r="C136" s="11" t="s">
        <v>27</v>
      </c>
      <c r="D136" s="11" t="s">
        <v>27</v>
      </c>
      <c r="E136" s="11" t="s">
        <v>300</v>
      </c>
      <c r="F136" s="11" t="s">
        <v>203</v>
      </c>
      <c r="G136" s="17">
        <f>808032+4096+31012+86060.54+37358+135955+2732+1781006+143622.3+1228621.82+560852.7+2968695.82+1741823.8+155007+1558411+1801697.3+883280.12+6998+27007+593097.29+574915.26+2759707.1+805509.85+1307040.61+12616859.15+1383584.3+538461.7</f>
        <v>34541443.660000004</v>
      </c>
      <c r="H136" s="17">
        <v>0</v>
      </c>
      <c r="I136" s="17">
        <v>0</v>
      </c>
      <c r="J136" s="17">
        <f>808032+4096+31012+86060.54+37358+135955+2732+1781006+143622.3+1228621.82+560852.7+2968695.82+1741823.8+155007+1558411+1801697.3+883280.12+6998+27007+593097.29+574915.26+2759707.1+805509.85+1307040.61+12616859.15+1383584.3+538461.7</f>
        <v>34541443.660000004</v>
      </c>
      <c r="K136" s="41"/>
      <c r="L136" s="31"/>
    </row>
    <row r="137" spans="2:12" ht="48" customHeight="1">
      <c r="B137" s="4" t="s">
        <v>233</v>
      </c>
      <c r="C137" s="11" t="s">
        <v>27</v>
      </c>
      <c r="D137" s="11" t="s">
        <v>27</v>
      </c>
      <c r="E137" s="11" t="s">
        <v>309</v>
      </c>
      <c r="F137" s="11" t="s">
        <v>11</v>
      </c>
      <c r="G137" s="17">
        <f>G138</f>
        <v>5331828.44</v>
      </c>
      <c r="H137" s="17">
        <f>H138</f>
        <v>0</v>
      </c>
      <c r="I137" s="17">
        <f>I138</f>
        <v>0</v>
      </c>
      <c r="J137" s="17">
        <f>J138</f>
        <v>5331828.44</v>
      </c>
      <c r="K137" s="41"/>
      <c r="L137" s="31"/>
    </row>
    <row r="138" spans="2:12" ht="12.75">
      <c r="B138" s="4" t="s">
        <v>219</v>
      </c>
      <c r="C138" s="11" t="s">
        <v>27</v>
      </c>
      <c r="D138" s="11" t="s">
        <v>27</v>
      </c>
      <c r="E138" s="11" t="s">
        <v>309</v>
      </c>
      <c r="F138" s="11" t="s">
        <v>203</v>
      </c>
      <c r="G138" s="17">
        <f>176061.14+148564.3+5007203</f>
        <v>5331828.44</v>
      </c>
      <c r="H138" s="17">
        <v>0</v>
      </c>
      <c r="I138" s="17">
        <v>0</v>
      </c>
      <c r="J138" s="17">
        <f>176061.14+148564.3+5007203</f>
        <v>5331828.44</v>
      </c>
      <c r="K138" s="41"/>
      <c r="L138" s="31"/>
    </row>
    <row r="139" spans="2:12" ht="23.25" customHeight="1">
      <c r="B139" s="4" t="s">
        <v>221</v>
      </c>
      <c r="C139" s="11" t="s">
        <v>27</v>
      </c>
      <c r="D139" s="11" t="s">
        <v>27</v>
      </c>
      <c r="E139" s="11" t="s">
        <v>141</v>
      </c>
      <c r="F139" s="11" t="s">
        <v>11</v>
      </c>
      <c r="G139" s="17">
        <f>G140+G141</f>
        <v>0</v>
      </c>
      <c r="H139" s="17">
        <f>H140+H141</f>
        <v>0</v>
      </c>
      <c r="I139" s="17">
        <f>I140+I141</f>
        <v>0</v>
      </c>
      <c r="J139" s="17">
        <f>J140+J141</f>
        <v>0</v>
      </c>
      <c r="K139" s="41"/>
      <c r="L139" s="31"/>
    </row>
    <row r="140" spans="2:12" ht="12.75" customHeight="1">
      <c r="B140" s="4" t="s">
        <v>219</v>
      </c>
      <c r="C140" s="11" t="s">
        <v>27</v>
      </c>
      <c r="D140" s="11" t="s">
        <v>27</v>
      </c>
      <c r="E140" s="11" t="s">
        <v>152</v>
      </c>
      <c r="F140" s="11" t="s">
        <v>203</v>
      </c>
      <c r="G140" s="17">
        <v>0</v>
      </c>
      <c r="H140" s="17">
        <v>0</v>
      </c>
      <c r="I140" s="17">
        <v>0</v>
      </c>
      <c r="J140" s="17"/>
      <c r="K140" s="41"/>
      <c r="L140" s="31"/>
    </row>
    <row r="141" spans="2:12" ht="23.25" customHeight="1">
      <c r="B141" s="4" t="s">
        <v>18</v>
      </c>
      <c r="C141" s="11" t="s">
        <v>27</v>
      </c>
      <c r="D141" s="11" t="s">
        <v>27</v>
      </c>
      <c r="E141" s="11" t="s">
        <v>141</v>
      </c>
      <c r="F141" s="11" t="s">
        <v>154</v>
      </c>
      <c r="G141" s="17">
        <v>0</v>
      </c>
      <c r="H141" s="17">
        <v>0</v>
      </c>
      <c r="I141" s="17">
        <v>0</v>
      </c>
      <c r="J141" s="17">
        <v>0</v>
      </c>
      <c r="K141" s="41"/>
      <c r="L141" s="31"/>
    </row>
    <row r="142" spans="2:12" ht="12.75">
      <c r="B142" s="7" t="s">
        <v>59</v>
      </c>
      <c r="C142" s="9" t="s">
        <v>31</v>
      </c>
      <c r="D142" s="9" t="s">
        <v>10</v>
      </c>
      <c r="E142" s="9" t="s">
        <v>8</v>
      </c>
      <c r="F142" s="9" t="s">
        <v>11</v>
      </c>
      <c r="G142" s="24">
        <f>G143</f>
        <v>51060930.62</v>
      </c>
      <c r="H142" s="24">
        <f>H143</f>
        <v>900000</v>
      </c>
      <c r="I142" s="24">
        <f>I143</f>
        <v>900000</v>
      </c>
      <c r="J142" s="24">
        <f>J143</f>
        <v>50160930.62</v>
      </c>
      <c r="K142" s="38"/>
      <c r="L142" s="39"/>
    </row>
    <row r="143" spans="2:12" ht="22.5" customHeight="1">
      <c r="B143" s="6" t="s">
        <v>294</v>
      </c>
      <c r="C143" s="10" t="s">
        <v>31</v>
      </c>
      <c r="D143" s="10" t="s">
        <v>27</v>
      </c>
      <c r="E143" s="10" t="s">
        <v>8</v>
      </c>
      <c r="F143" s="10" t="s">
        <v>11</v>
      </c>
      <c r="G143" s="21">
        <f>G144+G146+G148+G150</f>
        <v>51060930.62</v>
      </c>
      <c r="H143" s="21">
        <f>H144+H146+H148+H150</f>
        <v>900000</v>
      </c>
      <c r="I143" s="21">
        <f>I144+I146+I148+I150</f>
        <v>900000</v>
      </c>
      <c r="J143" s="21">
        <f>J144+J146+J148+J150</f>
        <v>50160930.62</v>
      </c>
      <c r="K143" s="40"/>
      <c r="L143" s="34"/>
    </row>
    <row r="144" spans="2:12" ht="12.75">
      <c r="B144" s="4" t="s">
        <v>295</v>
      </c>
      <c r="C144" s="13" t="s">
        <v>31</v>
      </c>
      <c r="D144" s="13" t="s">
        <v>27</v>
      </c>
      <c r="E144" s="13" t="s">
        <v>256</v>
      </c>
      <c r="F144" s="13" t="s">
        <v>11</v>
      </c>
      <c r="G144" s="27">
        <f>G145</f>
        <v>900000</v>
      </c>
      <c r="H144" s="27">
        <f>H145</f>
        <v>900000</v>
      </c>
      <c r="I144" s="27">
        <f>I145</f>
        <v>900000</v>
      </c>
      <c r="J144" s="27">
        <f>J145</f>
        <v>0</v>
      </c>
      <c r="K144" s="32"/>
      <c r="L144" s="33"/>
    </row>
    <row r="145" spans="2:12" ht="22.5">
      <c r="B145" s="4" t="s">
        <v>18</v>
      </c>
      <c r="C145" s="13" t="s">
        <v>31</v>
      </c>
      <c r="D145" s="13" t="s">
        <v>27</v>
      </c>
      <c r="E145" s="13" t="s">
        <v>256</v>
      </c>
      <c r="F145" s="13" t="s">
        <v>154</v>
      </c>
      <c r="G145" s="27">
        <v>900000</v>
      </c>
      <c r="H145" s="27">
        <v>900000</v>
      </c>
      <c r="I145" s="27">
        <v>900000</v>
      </c>
      <c r="J145" s="27"/>
      <c r="K145" s="32"/>
      <c r="L145" s="33"/>
    </row>
    <row r="146" spans="2:12" ht="12.75">
      <c r="B146" s="4" t="s">
        <v>218</v>
      </c>
      <c r="C146" s="11" t="s">
        <v>31</v>
      </c>
      <c r="D146" s="11" t="s">
        <v>27</v>
      </c>
      <c r="E146" s="11" t="s">
        <v>253</v>
      </c>
      <c r="F146" s="11" t="s">
        <v>11</v>
      </c>
      <c r="G146" s="17">
        <f>G147</f>
        <v>141190.5</v>
      </c>
      <c r="H146" s="17">
        <f>H147</f>
        <v>0</v>
      </c>
      <c r="I146" s="17">
        <f>I147</f>
        <v>0</v>
      </c>
      <c r="J146" s="17">
        <f>J147</f>
        <v>141190.5</v>
      </c>
      <c r="K146" s="41"/>
      <c r="L146" s="31"/>
    </row>
    <row r="147" spans="2:12" ht="12.75">
      <c r="B147" s="4" t="s">
        <v>219</v>
      </c>
      <c r="C147" s="11" t="s">
        <v>31</v>
      </c>
      <c r="D147" s="11" t="s">
        <v>27</v>
      </c>
      <c r="E147" s="11" t="s">
        <v>253</v>
      </c>
      <c r="F147" s="11" t="s">
        <v>203</v>
      </c>
      <c r="G147" s="17">
        <v>141190.5</v>
      </c>
      <c r="H147" s="17">
        <v>0</v>
      </c>
      <c r="I147" s="17">
        <v>0</v>
      </c>
      <c r="J147" s="17">
        <v>141190.5</v>
      </c>
      <c r="K147" s="41"/>
      <c r="L147" s="31"/>
    </row>
    <row r="148" spans="2:12" ht="43.5" customHeight="1">
      <c r="B148" s="4" t="s">
        <v>271</v>
      </c>
      <c r="C148" s="11" t="s">
        <v>31</v>
      </c>
      <c r="D148" s="11" t="s">
        <v>27</v>
      </c>
      <c r="E148" s="11" t="s">
        <v>270</v>
      </c>
      <c r="F148" s="11" t="s">
        <v>11</v>
      </c>
      <c r="G148" s="17">
        <f>G149</f>
        <v>50000000</v>
      </c>
      <c r="H148" s="17">
        <f>H149</f>
        <v>0</v>
      </c>
      <c r="I148" s="17">
        <f>I149</f>
        <v>0</v>
      </c>
      <c r="J148" s="17">
        <f>J149</f>
        <v>50000000</v>
      </c>
      <c r="K148" s="41"/>
      <c r="L148" s="31"/>
    </row>
    <row r="149" spans="2:12" ht="12.75">
      <c r="B149" s="4" t="s">
        <v>219</v>
      </c>
      <c r="C149" s="11" t="s">
        <v>31</v>
      </c>
      <c r="D149" s="11" t="s">
        <v>27</v>
      </c>
      <c r="E149" s="11" t="s">
        <v>270</v>
      </c>
      <c r="F149" s="11" t="s">
        <v>203</v>
      </c>
      <c r="G149" s="17">
        <v>50000000</v>
      </c>
      <c r="H149" s="17">
        <v>0</v>
      </c>
      <c r="I149" s="17">
        <v>0</v>
      </c>
      <c r="J149" s="17">
        <v>50000000</v>
      </c>
      <c r="K149" s="41"/>
      <c r="L149" s="31"/>
    </row>
    <row r="150" spans="2:12" s="14" customFormat="1" ht="12.75">
      <c r="B150" s="28" t="s">
        <v>219</v>
      </c>
      <c r="C150" s="51" t="s">
        <v>31</v>
      </c>
      <c r="D150" s="51" t="s">
        <v>27</v>
      </c>
      <c r="E150" s="51" t="s">
        <v>51</v>
      </c>
      <c r="F150" s="51" t="s">
        <v>11</v>
      </c>
      <c r="G150" s="19">
        <f>G151</f>
        <v>19740.12</v>
      </c>
      <c r="H150" s="19">
        <f>H151</f>
        <v>0</v>
      </c>
      <c r="I150" s="19">
        <f>I151</f>
        <v>0</v>
      </c>
      <c r="J150" s="19">
        <f>J151</f>
        <v>19740.12</v>
      </c>
      <c r="K150" s="41"/>
      <c r="L150" s="31"/>
    </row>
    <row r="151" spans="2:12" ht="12.75">
      <c r="B151" s="4" t="s">
        <v>219</v>
      </c>
      <c r="C151" s="11" t="s">
        <v>31</v>
      </c>
      <c r="D151" s="11" t="s">
        <v>27</v>
      </c>
      <c r="E151" s="11" t="s">
        <v>51</v>
      </c>
      <c r="F151" s="11" t="s">
        <v>203</v>
      </c>
      <c r="G151" s="17">
        <v>19740.12</v>
      </c>
      <c r="H151" s="17">
        <v>0</v>
      </c>
      <c r="I151" s="17">
        <v>0</v>
      </c>
      <c r="J151" s="17">
        <v>19740.12</v>
      </c>
      <c r="K151" s="41"/>
      <c r="L151" s="31"/>
    </row>
    <row r="152" spans="2:12" ht="12.75">
      <c r="B152" s="7" t="s">
        <v>60</v>
      </c>
      <c r="C152" s="9" t="s">
        <v>61</v>
      </c>
      <c r="D152" s="9" t="s">
        <v>10</v>
      </c>
      <c r="E152" s="9" t="s">
        <v>8</v>
      </c>
      <c r="F152" s="9" t="s">
        <v>11</v>
      </c>
      <c r="G152" s="24">
        <f>G153+G162+G184</f>
        <v>317932901.7</v>
      </c>
      <c r="H152" s="24">
        <f>H153+H162+H184</f>
        <v>321536230</v>
      </c>
      <c r="I152" s="24">
        <f>I153+I162+I184</f>
        <v>342267010</v>
      </c>
      <c r="J152" s="24">
        <f>J153+J162+J184</f>
        <v>57467905.37</v>
      </c>
      <c r="K152" s="38"/>
      <c r="L152" s="39"/>
    </row>
    <row r="153" spans="2:12" ht="12.75">
      <c r="B153" s="6" t="s">
        <v>62</v>
      </c>
      <c r="C153" s="10" t="s">
        <v>63</v>
      </c>
      <c r="D153" s="10" t="s">
        <v>9</v>
      </c>
      <c r="E153" s="10" t="s">
        <v>8</v>
      </c>
      <c r="F153" s="10" t="s">
        <v>11</v>
      </c>
      <c r="G153" s="21">
        <f>G154+G160</f>
        <v>76655251.08</v>
      </c>
      <c r="H153" s="21">
        <f>H154+H160</f>
        <v>202361450</v>
      </c>
      <c r="I153" s="21">
        <f>I154+I160</f>
        <v>212760990</v>
      </c>
      <c r="J153" s="21">
        <f>J154+J160</f>
        <v>11765606.390000002</v>
      </c>
      <c r="K153" s="40"/>
      <c r="L153" s="34"/>
    </row>
    <row r="154" spans="2:12" ht="22.5">
      <c r="B154" s="4" t="s">
        <v>64</v>
      </c>
      <c r="C154" s="11" t="s">
        <v>63</v>
      </c>
      <c r="D154" s="11" t="s">
        <v>9</v>
      </c>
      <c r="E154" s="11" t="s">
        <v>65</v>
      </c>
      <c r="F154" s="11" t="s">
        <v>11</v>
      </c>
      <c r="G154" s="17">
        <f>G155+G156+G157+G158+G159</f>
        <v>76655251.08</v>
      </c>
      <c r="H154" s="17">
        <f>H155+H156+H157+H158+H159</f>
        <v>202361450</v>
      </c>
      <c r="I154" s="17">
        <f>I155+I156+I157+I158+I159</f>
        <v>212760990</v>
      </c>
      <c r="J154" s="17">
        <f>J155+J156+J157+J158+J159</f>
        <v>11765606.390000002</v>
      </c>
      <c r="K154" s="41"/>
      <c r="L154" s="31"/>
    </row>
    <row r="155" spans="2:12" ht="22.5">
      <c r="B155" s="4" t="s">
        <v>38</v>
      </c>
      <c r="C155" s="11" t="s">
        <v>63</v>
      </c>
      <c r="D155" s="11" t="s">
        <v>9</v>
      </c>
      <c r="E155" s="11" t="s">
        <v>65</v>
      </c>
      <c r="F155" s="11" t="s">
        <v>39</v>
      </c>
      <c r="G155" s="19">
        <v>64000410.43</v>
      </c>
      <c r="H155" s="19">
        <v>67592150</v>
      </c>
      <c r="I155" s="19">
        <v>74683590</v>
      </c>
      <c r="J155" s="19">
        <f>5531291.97+34577.9+1355759.04+17857.32+1112154.42+580571.1+17961.71+5810.89+51748+1338394.41</f>
        <v>10046126.760000002</v>
      </c>
      <c r="K155" s="41"/>
      <c r="L155" s="31"/>
    </row>
    <row r="156" spans="2:12" ht="33" customHeight="1">
      <c r="B156" s="4" t="s">
        <v>234</v>
      </c>
      <c r="C156" s="11" t="s">
        <v>63</v>
      </c>
      <c r="D156" s="11" t="s">
        <v>9</v>
      </c>
      <c r="E156" s="11" t="s">
        <v>65</v>
      </c>
      <c r="F156" s="11" t="s">
        <v>134</v>
      </c>
      <c r="G156" s="19">
        <v>75240.93</v>
      </c>
      <c r="H156" s="19">
        <v>0</v>
      </c>
      <c r="I156" s="19">
        <v>0</v>
      </c>
      <c r="J156" s="19"/>
      <c r="K156" s="41"/>
      <c r="L156" s="31"/>
    </row>
    <row r="157" spans="2:12" ht="43.5" customHeight="1">
      <c r="B157" s="4" t="s">
        <v>161</v>
      </c>
      <c r="C157" s="11" t="s">
        <v>63</v>
      </c>
      <c r="D157" s="11" t="s">
        <v>9</v>
      </c>
      <c r="E157" s="11" t="s">
        <v>65</v>
      </c>
      <c r="F157" s="11" t="s">
        <v>162</v>
      </c>
      <c r="G157" s="19">
        <v>4790000</v>
      </c>
      <c r="H157" s="19">
        <v>126485000</v>
      </c>
      <c r="I157" s="19">
        <v>128723000</v>
      </c>
      <c r="J157" s="19">
        <f>4102.48</f>
        <v>4102.48</v>
      </c>
      <c r="K157" s="41"/>
      <c r="L157" s="31"/>
    </row>
    <row r="158" spans="2:12" ht="45.75" customHeight="1">
      <c r="B158" s="4" t="s">
        <v>164</v>
      </c>
      <c r="C158" s="11" t="s">
        <v>63</v>
      </c>
      <c r="D158" s="11" t="s">
        <v>9</v>
      </c>
      <c r="E158" s="11" t="s">
        <v>65</v>
      </c>
      <c r="F158" s="11" t="s">
        <v>124</v>
      </c>
      <c r="G158" s="19">
        <v>4405261.74</v>
      </c>
      <c r="H158" s="19">
        <v>5621700</v>
      </c>
      <c r="I158" s="19">
        <v>6689000</v>
      </c>
      <c r="J158" s="19">
        <v>1428605.08</v>
      </c>
      <c r="K158" s="41"/>
      <c r="L158" s="31"/>
    </row>
    <row r="159" spans="2:13" ht="37.5" customHeight="1">
      <c r="B159" s="4" t="s">
        <v>166</v>
      </c>
      <c r="C159" s="11" t="s">
        <v>63</v>
      </c>
      <c r="D159" s="11" t="s">
        <v>9</v>
      </c>
      <c r="E159" s="11" t="s">
        <v>65</v>
      </c>
      <c r="F159" s="11" t="s">
        <v>165</v>
      </c>
      <c r="G159" s="19">
        <v>3384337.98</v>
      </c>
      <c r="H159" s="19">
        <v>2662600</v>
      </c>
      <c r="I159" s="19">
        <v>2665400</v>
      </c>
      <c r="J159" s="19">
        <v>286772.07</v>
      </c>
      <c r="K159" s="41"/>
      <c r="L159" s="31"/>
      <c r="M159" s="14"/>
    </row>
    <row r="160" spans="2:13" ht="15.75" customHeight="1">
      <c r="B160" s="4" t="s">
        <v>305</v>
      </c>
      <c r="C160" s="11" t="s">
        <v>63</v>
      </c>
      <c r="D160" s="11" t="s">
        <v>9</v>
      </c>
      <c r="E160" s="11" t="s">
        <v>302</v>
      </c>
      <c r="F160" s="11" t="s">
        <v>11</v>
      </c>
      <c r="G160" s="19">
        <f>G161</f>
        <v>0</v>
      </c>
      <c r="H160" s="19">
        <f>H161</f>
        <v>0</v>
      </c>
      <c r="I160" s="19">
        <f>I161</f>
        <v>0</v>
      </c>
      <c r="J160" s="19">
        <f>J161</f>
        <v>0</v>
      </c>
      <c r="K160" s="41"/>
      <c r="L160" s="31"/>
      <c r="M160" s="14"/>
    </row>
    <row r="161" spans="2:13" ht="39.75" customHeight="1">
      <c r="B161" s="4" t="s">
        <v>304</v>
      </c>
      <c r="C161" s="11" t="s">
        <v>63</v>
      </c>
      <c r="D161" s="11" t="s">
        <v>9</v>
      </c>
      <c r="E161" s="11" t="s">
        <v>302</v>
      </c>
      <c r="F161" s="11" t="s">
        <v>303</v>
      </c>
      <c r="G161" s="19">
        <v>0</v>
      </c>
      <c r="H161" s="19">
        <v>0</v>
      </c>
      <c r="I161" s="19">
        <v>0</v>
      </c>
      <c r="J161" s="19"/>
      <c r="K161" s="41"/>
      <c r="L161" s="31"/>
      <c r="M161" s="14"/>
    </row>
    <row r="162" spans="2:12" ht="12.75">
      <c r="B162" s="6" t="s">
        <v>66</v>
      </c>
      <c r="C162" s="10" t="s">
        <v>63</v>
      </c>
      <c r="D162" s="10" t="s">
        <v>13</v>
      </c>
      <c r="E162" s="10" t="s">
        <v>8</v>
      </c>
      <c r="F162" s="10" t="s">
        <v>11</v>
      </c>
      <c r="G162" s="21">
        <f>G163+G169++G171+G173+G177+G180+G182</f>
        <v>223458094.68</v>
      </c>
      <c r="H162" s="21">
        <f>H163+H169+H173+H177+H180+H182</f>
        <v>105704000</v>
      </c>
      <c r="I162" s="21">
        <f>I163+I169+I173+I177+I180+I182</f>
        <v>115747230</v>
      </c>
      <c r="J162" s="21">
        <f>J163+J169++J171+J173+J177+J180+J182</f>
        <v>43275971.989999995</v>
      </c>
      <c r="K162" s="41"/>
      <c r="L162" s="31"/>
    </row>
    <row r="163" spans="2:12" ht="22.5">
      <c r="B163" s="4" t="s">
        <v>64</v>
      </c>
      <c r="C163" s="11" t="s">
        <v>63</v>
      </c>
      <c r="D163" s="11" t="s">
        <v>13</v>
      </c>
      <c r="E163" s="11" t="s">
        <v>67</v>
      </c>
      <c r="F163" s="11" t="s">
        <v>11</v>
      </c>
      <c r="G163" s="17">
        <f>G164+G165+G166+G167+G168</f>
        <v>32408537</v>
      </c>
      <c r="H163" s="17">
        <f>H164+H165+H166+H167+H168</f>
        <v>35075250</v>
      </c>
      <c r="I163" s="17">
        <f>I164+I165+I166+I167+I168</f>
        <v>42370810</v>
      </c>
      <c r="J163" s="17">
        <f>J164+J165+J166+J167+J168</f>
        <v>10730063.350000001</v>
      </c>
      <c r="K163" s="41"/>
      <c r="L163" s="31"/>
    </row>
    <row r="164" spans="2:12" ht="22.5">
      <c r="B164" s="4" t="s">
        <v>38</v>
      </c>
      <c r="C164" s="11" t="s">
        <v>63</v>
      </c>
      <c r="D164" s="11" t="s">
        <v>13</v>
      </c>
      <c r="E164" s="11" t="s">
        <v>67</v>
      </c>
      <c r="F164" s="11" t="s">
        <v>39</v>
      </c>
      <c r="G164" s="19">
        <v>20573655.68</v>
      </c>
      <c r="H164" s="19">
        <v>20983270</v>
      </c>
      <c r="I164" s="19">
        <v>25573730</v>
      </c>
      <c r="J164" s="19">
        <f>146866.16+100+38479+55723.02+630136.08+2381239.12+6132.75+948819.17+135720.46+20053.12+139770+2008858.79</f>
        <v>6511897.67</v>
      </c>
      <c r="K164" s="41"/>
      <c r="L164" s="31"/>
    </row>
    <row r="165" spans="2:12" ht="56.25">
      <c r="B165" s="4" t="s">
        <v>133</v>
      </c>
      <c r="C165" s="11" t="s">
        <v>63</v>
      </c>
      <c r="D165" s="11" t="s">
        <v>13</v>
      </c>
      <c r="E165" s="11" t="s">
        <v>67</v>
      </c>
      <c r="F165" s="11" t="s">
        <v>134</v>
      </c>
      <c r="G165" s="19">
        <v>0</v>
      </c>
      <c r="H165" s="19">
        <v>0</v>
      </c>
      <c r="I165" s="19">
        <v>0</v>
      </c>
      <c r="J165" s="19"/>
      <c r="K165" s="41"/>
      <c r="L165" s="31"/>
    </row>
    <row r="166" spans="2:12" ht="45.75" customHeight="1">
      <c r="B166" s="4" t="s">
        <v>163</v>
      </c>
      <c r="C166" s="11" t="s">
        <v>63</v>
      </c>
      <c r="D166" s="11" t="s">
        <v>167</v>
      </c>
      <c r="E166" s="11" t="s">
        <v>67</v>
      </c>
      <c r="F166" s="11" t="s">
        <v>124</v>
      </c>
      <c r="G166" s="19">
        <v>11472426.2</v>
      </c>
      <c r="H166" s="19">
        <v>13835500</v>
      </c>
      <c r="I166" s="19">
        <v>16540600</v>
      </c>
      <c r="J166" s="19">
        <f>4179928.54</f>
        <v>4179928.54</v>
      </c>
      <c r="K166" s="41"/>
      <c r="L166" s="31"/>
    </row>
    <row r="167" spans="2:12" ht="35.25" customHeight="1">
      <c r="B167" s="4" t="s">
        <v>168</v>
      </c>
      <c r="C167" s="11" t="s">
        <v>63</v>
      </c>
      <c r="D167" s="11" t="s">
        <v>13</v>
      </c>
      <c r="E167" s="11" t="s">
        <v>129</v>
      </c>
      <c r="F167" s="11" t="s">
        <v>132</v>
      </c>
      <c r="G167" s="19">
        <v>362455.12</v>
      </c>
      <c r="H167" s="19">
        <v>256480</v>
      </c>
      <c r="I167" s="19">
        <v>256480</v>
      </c>
      <c r="J167" s="19">
        <f>29645.67+300+8291.47</f>
        <v>38237.14</v>
      </c>
      <c r="K167" s="41"/>
      <c r="L167" s="31"/>
    </row>
    <row r="168" spans="2:12" ht="35.25" customHeight="1">
      <c r="B168" s="28" t="s">
        <v>316</v>
      </c>
      <c r="C168" s="11" t="s">
        <v>63</v>
      </c>
      <c r="D168" s="11" t="s">
        <v>13</v>
      </c>
      <c r="E168" s="11" t="s">
        <v>129</v>
      </c>
      <c r="F168" s="11" t="s">
        <v>165</v>
      </c>
      <c r="G168" s="19">
        <v>0</v>
      </c>
      <c r="H168" s="19">
        <v>0</v>
      </c>
      <c r="I168" s="19">
        <v>0</v>
      </c>
      <c r="J168" s="19"/>
      <c r="K168" s="41"/>
      <c r="L168" s="31"/>
    </row>
    <row r="169" spans="2:12" ht="58.5" customHeight="1">
      <c r="B169" s="4" t="s">
        <v>170</v>
      </c>
      <c r="C169" s="11" t="s">
        <v>63</v>
      </c>
      <c r="D169" s="11" t="s">
        <v>13</v>
      </c>
      <c r="E169" s="11" t="s">
        <v>169</v>
      </c>
      <c r="F169" s="11" t="s">
        <v>11</v>
      </c>
      <c r="G169" s="19">
        <f>G170</f>
        <v>5196316.88</v>
      </c>
      <c r="H169" s="19">
        <f>H170</f>
        <v>5325100</v>
      </c>
      <c r="I169" s="19">
        <f>I170</f>
        <v>5788100</v>
      </c>
      <c r="J169" s="19">
        <f>J170</f>
        <v>1424709.89</v>
      </c>
      <c r="K169" s="41"/>
      <c r="L169" s="31"/>
    </row>
    <row r="170" spans="2:12" ht="23.25" customHeight="1">
      <c r="B170" s="4" t="s">
        <v>38</v>
      </c>
      <c r="C170" s="11" t="s">
        <v>63</v>
      </c>
      <c r="D170" s="11" t="s">
        <v>13</v>
      </c>
      <c r="E170" s="11" t="s">
        <v>169</v>
      </c>
      <c r="F170" s="11" t="s">
        <v>39</v>
      </c>
      <c r="G170" s="19">
        <v>5196316.88</v>
      </c>
      <c r="H170" s="19">
        <v>5325100</v>
      </c>
      <c r="I170" s="19">
        <v>5788100</v>
      </c>
      <c r="J170" s="19">
        <f>1424709.89</f>
        <v>1424709.89</v>
      </c>
      <c r="K170" s="41"/>
      <c r="L170" s="31"/>
    </row>
    <row r="171" spans="2:12" ht="78.75">
      <c r="B171" s="4" t="s">
        <v>130</v>
      </c>
      <c r="C171" s="11" t="s">
        <v>61</v>
      </c>
      <c r="D171" s="11" t="s">
        <v>13</v>
      </c>
      <c r="E171" s="11" t="s">
        <v>171</v>
      </c>
      <c r="F171" s="11" t="s">
        <v>11</v>
      </c>
      <c r="G171" s="19">
        <f>G172</f>
        <v>119820843.63</v>
      </c>
      <c r="H171" s="19">
        <f>H172</f>
        <v>0</v>
      </c>
      <c r="I171" s="19">
        <f>I172</f>
        <v>0</v>
      </c>
      <c r="J171" s="19">
        <f>J172</f>
        <v>21090977.999999996</v>
      </c>
      <c r="K171" s="41"/>
      <c r="L171" s="31"/>
    </row>
    <row r="172" spans="2:12" ht="22.5">
      <c r="B172" s="4" t="s">
        <v>38</v>
      </c>
      <c r="C172" s="11" t="s">
        <v>63</v>
      </c>
      <c r="D172" s="11" t="s">
        <v>13</v>
      </c>
      <c r="E172" s="11" t="s">
        <v>171</v>
      </c>
      <c r="F172" s="11" t="s">
        <v>39</v>
      </c>
      <c r="G172" s="19">
        <v>119820843.63</v>
      </c>
      <c r="H172" s="19">
        <v>0</v>
      </c>
      <c r="I172" s="19">
        <v>0</v>
      </c>
      <c r="J172" s="19">
        <f>16332496.73+114957.5+4398212.67+25685.81+219625.29</f>
        <v>21090977.999999996</v>
      </c>
      <c r="K172" s="41"/>
      <c r="L172" s="31"/>
    </row>
    <row r="173" spans="2:12" ht="12.75">
      <c r="B173" s="4" t="s">
        <v>135</v>
      </c>
      <c r="C173" s="11" t="s">
        <v>63</v>
      </c>
      <c r="D173" s="11" t="s">
        <v>13</v>
      </c>
      <c r="E173" s="11" t="s">
        <v>272</v>
      </c>
      <c r="F173" s="11" t="s">
        <v>273</v>
      </c>
      <c r="G173" s="19">
        <f>G174</f>
        <v>34835437.1</v>
      </c>
      <c r="H173" s="19">
        <f>H174</f>
        <v>33351000</v>
      </c>
      <c r="I173" s="19">
        <f>I174</f>
        <v>34807700</v>
      </c>
      <c r="J173" s="19">
        <f>J174</f>
        <v>6010307.56</v>
      </c>
      <c r="K173" s="41"/>
      <c r="L173" s="31"/>
    </row>
    <row r="174" spans="2:12" ht="69.75" customHeight="1">
      <c r="B174" s="4" t="s">
        <v>136</v>
      </c>
      <c r="C174" s="11" t="s">
        <v>63</v>
      </c>
      <c r="D174" s="11" t="s">
        <v>13</v>
      </c>
      <c r="E174" s="11" t="s">
        <v>272</v>
      </c>
      <c r="F174" s="11" t="s">
        <v>11</v>
      </c>
      <c r="G174" s="19">
        <f>G175+G176</f>
        <v>34835437.1</v>
      </c>
      <c r="H174" s="19">
        <f>H175+H176</f>
        <v>33351000</v>
      </c>
      <c r="I174" s="19">
        <f>I175+I176</f>
        <v>34807700</v>
      </c>
      <c r="J174" s="19">
        <f>J175+J176</f>
        <v>6010307.56</v>
      </c>
      <c r="K174" s="41"/>
      <c r="L174" s="31"/>
    </row>
    <row r="175" spans="2:12" ht="22.5">
      <c r="B175" s="4" t="s">
        <v>38</v>
      </c>
      <c r="C175" s="11" t="s">
        <v>63</v>
      </c>
      <c r="D175" s="11" t="s">
        <v>13</v>
      </c>
      <c r="E175" s="11" t="s">
        <v>272</v>
      </c>
      <c r="F175" s="11" t="s">
        <v>39</v>
      </c>
      <c r="G175" s="19">
        <v>34811737.1</v>
      </c>
      <c r="H175" s="19">
        <v>33351000</v>
      </c>
      <c r="I175" s="19">
        <v>34807700</v>
      </c>
      <c r="J175" s="19">
        <f>2458976+10000+559164.51+14534.37+499470.98+1122753.66+51175.91+25357+10008.55+247800+1011066.58</f>
        <v>6010307.56</v>
      </c>
      <c r="K175" s="41"/>
      <c r="L175" s="31"/>
    </row>
    <row r="176" spans="2:12" ht="69.75" customHeight="1">
      <c r="B176" s="4" t="s">
        <v>235</v>
      </c>
      <c r="C176" s="11" t="s">
        <v>63</v>
      </c>
      <c r="D176" s="11" t="s">
        <v>13</v>
      </c>
      <c r="E176" s="11" t="s">
        <v>272</v>
      </c>
      <c r="F176" s="11" t="s">
        <v>132</v>
      </c>
      <c r="G176" s="19">
        <v>23700</v>
      </c>
      <c r="H176" s="19">
        <v>0</v>
      </c>
      <c r="I176" s="19">
        <v>0</v>
      </c>
      <c r="J176" s="19"/>
      <c r="K176" s="41"/>
      <c r="L176" s="31"/>
    </row>
    <row r="177" spans="2:12" ht="22.5">
      <c r="B177" s="4" t="s">
        <v>68</v>
      </c>
      <c r="C177" s="11" t="s">
        <v>61</v>
      </c>
      <c r="D177" s="11" t="s">
        <v>13</v>
      </c>
      <c r="E177" s="11" t="s">
        <v>69</v>
      </c>
      <c r="F177" s="11" t="s">
        <v>11</v>
      </c>
      <c r="G177" s="19">
        <f>G178+G179</f>
        <v>24772991.8</v>
      </c>
      <c r="H177" s="19">
        <f>H178+H179</f>
        <v>26117750</v>
      </c>
      <c r="I177" s="19">
        <f>I178+I179</f>
        <v>26945720</v>
      </c>
      <c r="J177" s="19">
        <f>J178+J179</f>
        <v>3143079.4399999995</v>
      </c>
      <c r="K177" s="41"/>
      <c r="L177" s="31"/>
    </row>
    <row r="178" spans="2:12" ht="22.5">
      <c r="B178" s="4" t="s">
        <v>38</v>
      </c>
      <c r="C178" s="11" t="s">
        <v>63</v>
      </c>
      <c r="D178" s="11" t="s">
        <v>13</v>
      </c>
      <c r="E178" s="11" t="s">
        <v>70</v>
      </c>
      <c r="F178" s="11" t="s">
        <v>39</v>
      </c>
      <c r="G178" s="19">
        <v>24427991.8</v>
      </c>
      <c r="H178" s="19">
        <v>25703422</v>
      </c>
      <c r="I178" s="19">
        <v>26453220</v>
      </c>
      <c r="J178" s="19">
        <f>1396289.44+10472.5+359053.68+7972.53+83071.7+6791.86+300+3594+41320+756971.13+5000+219911.28+5146.83+16440+29212.28+46827.45+50816.71+26.79+37996</f>
        <v>3077214.1799999997</v>
      </c>
      <c r="K178" s="41"/>
      <c r="L178" s="31"/>
    </row>
    <row r="179" spans="2:12" ht="36" customHeight="1">
      <c r="B179" s="4" t="s">
        <v>304</v>
      </c>
      <c r="C179" s="11" t="s">
        <v>63</v>
      </c>
      <c r="D179" s="11" t="s">
        <v>13</v>
      </c>
      <c r="E179" s="11" t="s">
        <v>70</v>
      </c>
      <c r="F179" s="11" t="s">
        <v>124</v>
      </c>
      <c r="G179" s="19">
        <v>345000</v>
      </c>
      <c r="H179" s="19">
        <v>414328</v>
      </c>
      <c r="I179" s="19">
        <v>492500</v>
      </c>
      <c r="J179" s="19">
        <f>21193.23+44672.03</f>
        <v>65865.26</v>
      </c>
      <c r="K179" s="41"/>
      <c r="L179" s="31"/>
    </row>
    <row r="180" spans="2:12" ht="33.75">
      <c r="B180" s="4" t="s">
        <v>148</v>
      </c>
      <c r="C180" s="11" t="s">
        <v>63</v>
      </c>
      <c r="D180" s="11" t="s">
        <v>13</v>
      </c>
      <c r="E180" s="11" t="s">
        <v>149</v>
      </c>
      <c r="F180" s="11" t="s">
        <v>11</v>
      </c>
      <c r="G180" s="19">
        <f>G181</f>
        <v>6011468.27</v>
      </c>
      <c r="H180" s="19">
        <f>H181</f>
        <v>5834900</v>
      </c>
      <c r="I180" s="19">
        <f>I181</f>
        <v>5834900</v>
      </c>
      <c r="J180" s="19">
        <f>J181</f>
        <v>876833.75</v>
      </c>
      <c r="K180" s="41"/>
      <c r="L180" s="31"/>
    </row>
    <row r="181" spans="2:12" ht="22.5">
      <c r="B181" s="4" t="s">
        <v>38</v>
      </c>
      <c r="C181" s="11" t="s">
        <v>63</v>
      </c>
      <c r="D181" s="11" t="s">
        <v>13</v>
      </c>
      <c r="E181" s="11" t="s">
        <v>149</v>
      </c>
      <c r="F181" s="11" t="s">
        <v>39</v>
      </c>
      <c r="G181" s="19">
        <v>6011468.27</v>
      </c>
      <c r="H181" s="19">
        <v>5834900</v>
      </c>
      <c r="I181" s="19">
        <v>5834900</v>
      </c>
      <c r="J181" s="19">
        <f>36002.61+1184+13416.23+2835+623544.92+199850.99</f>
        <v>876833.75</v>
      </c>
      <c r="K181" s="41"/>
      <c r="L181" s="31"/>
    </row>
    <row r="182" spans="2:12" s="14" customFormat="1" ht="35.25" customHeight="1">
      <c r="B182" s="28" t="s">
        <v>328</v>
      </c>
      <c r="C182" s="51" t="s">
        <v>63</v>
      </c>
      <c r="D182" s="51" t="s">
        <v>13</v>
      </c>
      <c r="E182" s="51" t="s">
        <v>321</v>
      </c>
      <c r="F182" s="51" t="s">
        <v>11</v>
      </c>
      <c r="G182" s="19">
        <f>G183</f>
        <v>412500</v>
      </c>
      <c r="H182" s="19">
        <f>H183</f>
        <v>0</v>
      </c>
      <c r="I182" s="19">
        <f>I183</f>
        <v>0</v>
      </c>
      <c r="J182" s="19">
        <f>J183</f>
        <v>0</v>
      </c>
      <c r="K182" s="41"/>
      <c r="L182" s="31"/>
    </row>
    <row r="183" spans="2:12" s="14" customFormat="1" ht="22.5">
      <c r="B183" s="28" t="s">
        <v>38</v>
      </c>
      <c r="C183" s="51" t="s">
        <v>63</v>
      </c>
      <c r="D183" s="51" t="s">
        <v>13</v>
      </c>
      <c r="E183" s="51" t="s">
        <v>321</v>
      </c>
      <c r="F183" s="51" t="s">
        <v>39</v>
      </c>
      <c r="G183" s="19">
        <v>412500</v>
      </c>
      <c r="H183" s="19">
        <v>0</v>
      </c>
      <c r="I183" s="19">
        <v>0</v>
      </c>
      <c r="J183" s="19"/>
      <c r="K183" s="41"/>
      <c r="L183" s="31"/>
    </row>
    <row r="184" spans="2:12" ht="22.5">
      <c r="B184" s="6" t="s">
        <v>71</v>
      </c>
      <c r="C184" s="10" t="s">
        <v>63</v>
      </c>
      <c r="D184" s="10" t="s">
        <v>72</v>
      </c>
      <c r="E184" s="10" t="s">
        <v>8</v>
      </c>
      <c r="F184" s="10" t="s">
        <v>11</v>
      </c>
      <c r="G184" s="21">
        <f>G185+G187+G190+G192+G194+G196</f>
        <v>17819555.94</v>
      </c>
      <c r="H184" s="21">
        <f>H185+H187+H190+H192+H194+H196</f>
        <v>13470780</v>
      </c>
      <c r="I184" s="21">
        <f>I185+I187+I190+I192+I194+I196</f>
        <v>13758790</v>
      </c>
      <c r="J184" s="21">
        <f>J185+J187+J190+J192+J194+J196</f>
        <v>2426326.99</v>
      </c>
      <c r="K184" s="32"/>
      <c r="L184" s="33"/>
    </row>
    <row r="185" spans="2:12" ht="12.75">
      <c r="B185" s="4" t="s">
        <v>20</v>
      </c>
      <c r="C185" s="13" t="s">
        <v>63</v>
      </c>
      <c r="D185" s="13" t="s">
        <v>72</v>
      </c>
      <c r="E185" s="13" t="s">
        <v>21</v>
      </c>
      <c r="F185" s="13" t="s">
        <v>11</v>
      </c>
      <c r="G185" s="22">
        <f>G186</f>
        <v>1663026.33</v>
      </c>
      <c r="H185" s="22">
        <f>H186</f>
        <v>2923140</v>
      </c>
      <c r="I185" s="22">
        <f>I186</f>
        <v>3121040</v>
      </c>
      <c r="J185" s="22">
        <f>J186</f>
        <v>254536.42</v>
      </c>
      <c r="K185" s="41"/>
      <c r="L185" s="31"/>
    </row>
    <row r="186" spans="2:12" ht="22.5">
      <c r="B186" s="4" t="s">
        <v>18</v>
      </c>
      <c r="C186" s="11" t="s">
        <v>63</v>
      </c>
      <c r="D186" s="11" t="s">
        <v>72</v>
      </c>
      <c r="E186" s="11" t="s">
        <v>21</v>
      </c>
      <c r="F186" s="11" t="s">
        <v>154</v>
      </c>
      <c r="G186" s="22">
        <v>1663026.33</v>
      </c>
      <c r="H186" s="22">
        <v>2923140</v>
      </c>
      <c r="I186" s="22">
        <v>3121040</v>
      </c>
      <c r="J186" s="22">
        <f>205027.42+49509</f>
        <v>254536.42</v>
      </c>
      <c r="K186" s="41"/>
      <c r="L186" s="31"/>
    </row>
    <row r="187" spans="2:12" s="14" customFormat="1" ht="27.75" customHeight="1">
      <c r="B187" s="28" t="s">
        <v>64</v>
      </c>
      <c r="C187" s="15" t="s">
        <v>63</v>
      </c>
      <c r="D187" s="51" t="s">
        <v>72</v>
      </c>
      <c r="E187" s="15" t="s">
        <v>80</v>
      </c>
      <c r="F187" s="15" t="s">
        <v>11</v>
      </c>
      <c r="G187" s="27">
        <f>G188+G189</f>
        <v>10551822.48</v>
      </c>
      <c r="H187" s="27">
        <f>H188+H189</f>
        <v>10547640</v>
      </c>
      <c r="I187" s="27">
        <f>I188+I189</f>
        <v>10637750</v>
      </c>
      <c r="J187" s="27">
        <f>J188+J189</f>
        <v>1275482.6300000001</v>
      </c>
      <c r="K187" s="41"/>
      <c r="L187" s="33"/>
    </row>
    <row r="188" spans="2:12" s="14" customFormat="1" ht="27" customHeight="1">
      <c r="B188" s="28" t="s">
        <v>38</v>
      </c>
      <c r="C188" s="15" t="s">
        <v>63</v>
      </c>
      <c r="D188" s="15" t="s">
        <v>72</v>
      </c>
      <c r="E188" s="15" t="s">
        <v>80</v>
      </c>
      <c r="F188" s="15" t="s">
        <v>39</v>
      </c>
      <c r="G188" s="27">
        <v>10214822.48</v>
      </c>
      <c r="H188" s="27">
        <v>10023240</v>
      </c>
      <c r="I188" s="27">
        <v>10013650</v>
      </c>
      <c r="J188" s="27">
        <f>779187.12+144417.72+27185.51+1693.34+20565.5+29486.87+205410.5</f>
        <v>1207946.56</v>
      </c>
      <c r="K188" s="41"/>
      <c r="L188" s="33"/>
    </row>
    <row r="189" spans="2:12" s="14" customFormat="1" ht="36.75" customHeight="1">
      <c r="B189" s="28" t="s">
        <v>304</v>
      </c>
      <c r="C189" s="15" t="s">
        <v>63</v>
      </c>
      <c r="D189" s="15" t="s">
        <v>72</v>
      </c>
      <c r="E189" s="15" t="s">
        <v>80</v>
      </c>
      <c r="F189" s="15" t="s">
        <v>124</v>
      </c>
      <c r="G189" s="27">
        <v>337000</v>
      </c>
      <c r="H189" s="27">
        <v>524400</v>
      </c>
      <c r="I189" s="27">
        <v>624100</v>
      </c>
      <c r="J189" s="27">
        <f>67536.07</f>
        <v>67536.07</v>
      </c>
      <c r="K189" s="41"/>
      <c r="L189" s="33"/>
    </row>
    <row r="190" spans="2:12" ht="14.25" customHeight="1">
      <c r="B190" s="4" t="s">
        <v>218</v>
      </c>
      <c r="C190" s="11" t="s">
        <v>63</v>
      </c>
      <c r="D190" s="11" t="s">
        <v>72</v>
      </c>
      <c r="E190" s="11" t="s">
        <v>274</v>
      </c>
      <c r="F190" s="11" t="s">
        <v>11</v>
      </c>
      <c r="G190" s="17">
        <f>G191</f>
        <v>0</v>
      </c>
      <c r="H190" s="17">
        <f>H191</f>
        <v>0</v>
      </c>
      <c r="I190" s="17">
        <f>I191</f>
        <v>0</v>
      </c>
      <c r="J190" s="17">
        <f>J191</f>
        <v>0</v>
      </c>
      <c r="K190" s="41"/>
      <c r="L190" s="33"/>
    </row>
    <row r="191" spans="2:12" ht="24" customHeight="1">
      <c r="B191" s="4" t="s">
        <v>38</v>
      </c>
      <c r="C191" s="11" t="s">
        <v>63</v>
      </c>
      <c r="D191" s="11" t="s">
        <v>72</v>
      </c>
      <c r="E191" s="11" t="s">
        <v>253</v>
      </c>
      <c r="F191" s="11" t="s">
        <v>39</v>
      </c>
      <c r="G191" s="17">
        <v>0</v>
      </c>
      <c r="H191" s="17">
        <v>0</v>
      </c>
      <c r="I191" s="17">
        <v>0</v>
      </c>
      <c r="J191" s="17"/>
      <c r="K191" s="41"/>
      <c r="L191" s="33"/>
    </row>
    <row r="192" spans="2:12" ht="26.25" customHeight="1">
      <c r="B192" s="4" t="s">
        <v>236</v>
      </c>
      <c r="C192" s="11" t="s">
        <v>63</v>
      </c>
      <c r="D192" s="11" t="s">
        <v>72</v>
      </c>
      <c r="E192" s="11" t="s">
        <v>254</v>
      </c>
      <c r="F192" s="11" t="s">
        <v>11</v>
      </c>
      <c r="G192" s="17">
        <f>G193</f>
        <v>5310235.43</v>
      </c>
      <c r="H192" s="17">
        <f>H193</f>
        <v>0</v>
      </c>
      <c r="I192" s="17">
        <f>I193</f>
        <v>0</v>
      </c>
      <c r="J192" s="17">
        <f>J193</f>
        <v>770876.9400000001</v>
      </c>
      <c r="K192" s="41"/>
      <c r="L192" s="33"/>
    </row>
    <row r="193" spans="2:12" ht="22.5" customHeight="1">
      <c r="B193" s="4" t="s">
        <v>38</v>
      </c>
      <c r="C193" s="11" t="s">
        <v>63</v>
      </c>
      <c r="D193" s="11" t="s">
        <v>72</v>
      </c>
      <c r="E193" s="11" t="s">
        <v>254</v>
      </c>
      <c r="F193" s="11" t="s">
        <v>39</v>
      </c>
      <c r="G193" s="17">
        <v>5310235.43</v>
      </c>
      <c r="H193" s="17">
        <v>0</v>
      </c>
      <c r="I193" s="17">
        <v>0</v>
      </c>
      <c r="J193" s="17">
        <f>367640.4+95612.45+307624.09</f>
        <v>770876.9400000001</v>
      </c>
      <c r="K193" s="32"/>
      <c r="L193" s="33"/>
    </row>
    <row r="194" spans="2:12" ht="36.75" customHeight="1">
      <c r="B194" s="4" t="s">
        <v>220</v>
      </c>
      <c r="C194" s="11" t="s">
        <v>63</v>
      </c>
      <c r="D194" s="11" t="s">
        <v>72</v>
      </c>
      <c r="E194" s="11" t="s">
        <v>255</v>
      </c>
      <c r="F194" s="11" t="s">
        <v>11</v>
      </c>
      <c r="G194" s="17">
        <f>G195</f>
        <v>244471.7</v>
      </c>
      <c r="H194" s="17">
        <f>H195</f>
        <v>0</v>
      </c>
      <c r="I194" s="17">
        <f>I195</f>
        <v>0</v>
      </c>
      <c r="J194" s="17">
        <f>J195</f>
        <v>79485</v>
      </c>
      <c r="K194" s="41"/>
      <c r="L194" s="31"/>
    </row>
    <row r="195" spans="2:12" ht="24.75" customHeight="1">
      <c r="B195" s="4" t="s">
        <v>38</v>
      </c>
      <c r="C195" s="11" t="s">
        <v>63</v>
      </c>
      <c r="D195" s="11" t="s">
        <v>72</v>
      </c>
      <c r="E195" s="11" t="s">
        <v>255</v>
      </c>
      <c r="F195" s="11" t="s">
        <v>39</v>
      </c>
      <c r="G195" s="17">
        <v>244471.7</v>
      </c>
      <c r="H195" s="17">
        <v>0</v>
      </c>
      <c r="I195" s="17">
        <v>0</v>
      </c>
      <c r="J195" s="17">
        <f>888+1831+76766</f>
        <v>79485</v>
      </c>
      <c r="K195" s="41"/>
      <c r="L195" s="31"/>
    </row>
    <row r="196" spans="2:12" ht="22.5">
      <c r="B196" s="4" t="s">
        <v>58</v>
      </c>
      <c r="C196" s="11" t="s">
        <v>63</v>
      </c>
      <c r="D196" s="11" t="s">
        <v>72</v>
      </c>
      <c r="E196" s="11" t="s">
        <v>51</v>
      </c>
      <c r="F196" s="11" t="s">
        <v>11</v>
      </c>
      <c r="G196" s="17">
        <f>G197</f>
        <v>50000</v>
      </c>
      <c r="H196" s="17">
        <f>H197</f>
        <v>0</v>
      </c>
      <c r="I196" s="17">
        <f>I197</f>
        <v>0</v>
      </c>
      <c r="J196" s="17">
        <f>J197</f>
        <v>45946</v>
      </c>
      <c r="K196" s="41"/>
      <c r="L196" s="31"/>
    </row>
    <row r="197" spans="2:12" ht="22.5">
      <c r="B197" s="4" t="s">
        <v>18</v>
      </c>
      <c r="C197" s="11" t="s">
        <v>63</v>
      </c>
      <c r="D197" s="11" t="s">
        <v>72</v>
      </c>
      <c r="E197" s="11" t="s">
        <v>51</v>
      </c>
      <c r="F197" s="11" t="s">
        <v>154</v>
      </c>
      <c r="G197" s="17">
        <v>50000</v>
      </c>
      <c r="H197" s="17">
        <v>0</v>
      </c>
      <c r="I197" s="17">
        <v>0</v>
      </c>
      <c r="J197" s="17">
        <v>45946</v>
      </c>
      <c r="K197" s="41"/>
      <c r="L197" s="31"/>
    </row>
    <row r="198" spans="2:12" ht="22.5">
      <c r="B198" s="7" t="s">
        <v>74</v>
      </c>
      <c r="C198" s="9" t="s">
        <v>55</v>
      </c>
      <c r="D198" s="9" t="s">
        <v>10</v>
      </c>
      <c r="E198" s="9" t="s">
        <v>8</v>
      </c>
      <c r="F198" s="9" t="s">
        <v>11</v>
      </c>
      <c r="G198" s="24">
        <f>G199+G212</f>
        <v>35483764.65</v>
      </c>
      <c r="H198" s="24">
        <f>H199+H212</f>
        <v>38348070</v>
      </c>
      <c r="I198" s="24">
        <f>I199+I212</f>
        <v>38883169.99</v>
      </c>
      <c r="J198" s="24">
        <f>J199+J212</f>
        <v>6327221.34</v>
      </c>
      <c r="K198" s="41"/>
      <c r="L198" s="31"/>
    </row>
    <row r="199" spans="2:12" ht="12.75">
      <c r="B199" s="6" t="s">
        <v>73</v>
      </c>
      <c r="C199" s="10" t="s">
        <v>55</v>
      </c>
      <c r="D199" s="10" t="s">
        <v>9</v>
      </c>
      <c r="E199" s="10" t="s">
        <v>8</v>
      </c>
      <c r="F199" s="10" t="s">
        <v>11</v>
      </c>
      <c r="G199" s="21">
        <f>G200+G204+G206+G210</f>
        <v>32344394.65</v>
      </c>
      <c r="H199" s="21">
        <f>H200+H204+H206+H210</f>
        <v>35138230</v>
      </c>
      <c r="I199" s="21">
        <f>I200+I204+I206+I210</f>
        <v>35612740</v>
      </c>
      <c r="J199" s="21">
        <f>J200+J204+J206+J210</f>
        <v>5881868.62</v>
      </c>
      <c r="K199" s="41"/>
      <c r="L199" s="31"/>
    </row>
    <row r="200" spans="2:12" ht="22.5">
      <c r="B200" s="4" t="s">
        <v>64</v>
      </c>
      <c r="C200" s="11" t="s">
        <v>55</v>
      </c>
      <c r="D200" s="11" t="s">
        <v>9</v>
      </c>
      <c r="E200" s="11" t="s">
        <v>75</v>
      </c>
      <c r="F200" s="11" t="s">
        <v>11</v>
      </c>
      <c r="G200" s="19">
        <f>G201+G202+G203</f>
        <v>23726594.64</v>
      </c>
      <c r="H200" s="19">
        <f>H201+H202+H203</f>
        <v>24819020</v>
      </c>
      <c r="I200" s="19">
        <f>I201+I202+I203</f>
        <v>25932760</v>
      </c>
      <c r="J200" s="19">
        <f>J201+J202+J203</f>
        <v>4855080.81</v>
      </c>
      <c r="K200" s="41"/>
      <c r="L200" s="31"/>
    </row>
    <row r="201" spans="2:12" ht="22.5">
      <c r="B201" s="4" t="s">
        <v>38</v>
      </c>
      <c r="C201" s="11" t="s">
        <v>55</v>
      </c>
      <c r="D201" s="11" t="s">
        <v>9</v>
      </c>
      <c r="E201" s="11" t="s">
        <v>76</v>
      </c>
      <c r="F201" s="11" t="s">
        <v>39</v>
      </c>
      <c r="G201" s="19">
        <v>20147240</v>
      </c>
      <c r="H201" s="19">
        <v>20665320</v>
      </c>
      <c r="I201" s="19">
        <v>20989860</v>
      </c>
      <c r="J201" s="19">
        <f>1757437.52+753.06+444274.26+14794.67+747890.5+172130.14+89325.36+102833+37763+90325.77</f>
        <v>3457527.28</v>
      </c>
      <c r="K201" s="41"/>
      <c r="L201" s="31"/>
    </row>
    <row r="202" spans="2:12" ht="23.25" customHeight="1">
      <c r="B202" s="4" t="s">
        <v>137</v>
      </c>
      <c r="C202" s="11" t="s">
        <v>55</v>
      </c>
      <c r="D202" s="11" t="s">
        <v>9</v>
      </c>
      <c r="E202" s="11" t="s">
        <v>75</v>
      </c>
      <c r="F202" s="11" t="s">
        <v>139</v>
      </c>
      <c r="G202" s="19">
        <v>137254.64</v>
      </c>
      <c r="H202" s="19">
        <v>0</v>
      </c>
      <c r="I202" s="19">
        <v>0</v>
      </c>
      <c r="J202" s="19">
        <f>137254.64+1260298.89</f>
        <v>1397553.5299999998</v>
      </c>
      <c r="K202" s="41"/>
      <c r="L202" s="31"/>
    </row>
    <row r="203" spans="2:12" ht="46.5" customHeight="1">
      <c r="B203" s="4" t="s">
        <v>123</v>
      </c>
      <c r="C203" s="11" t="s">
        <v>55</v>
      </c>
      <c r="D203" s="11" t="s">
        <v>9</v>
      </c>
      <c r="E203" s="11" t="s">
        <v>138</v>
      </c>
      <c r="F203" s="11" t="s">
        <v>124</v>
      </c>
      <c r="G203" s="19">
        <v>3442100</v>
      </c>
      <c r="H203" s="19">
        <v>4153700</v>
      </c>
      <c r="I203" s="19">
        <v>4942900</v>
      </c>
      <c r="J203" s="19"/>
      <c r="K203" s="41"/>
      <c r="L203" s="31"/>
    </row>
    <row r="204" spans="2:12" ht="22.5">
      <c r="B204" s="4" t="s">
        <v>64</v>
      </c>
      <c r="C204" s="11" t="s">
        <v>55</v>
      </c>
      <c r="D204" s="11" t="s">
        <v>9</v>
      </c>
      <c r="E204" s="11" t="s">
        <v>77</v>
      </c>
      <c r="F204" s="11" t="s">
        <v>11</v>
      </c>
      <c r="G204" s="19">
        <f>G205</f>
        <v>507800</v>
      </c>
      <c r="H204" s="19">
        <f>H205</f>
        <v>555240</v>
      </c>
      <c r="I204" s="19">
        <f>I205</f>
        <v>591370</v>
      </c>
      <c r="J204" s="19">
        <f>J205</f>
        <v>69846.65</v>
      </c>
      <c r="K204" s="40"/>
      <c r="L204" s="34"/>
    </row>
    <row r="205" spans="2:12" ht="22.5">
      <c r="B205" s="4" t="s">
        <v>38</v>
      </c>
      <c r="C205" s="11" t="s">
        <v>55</v>
      </c>
      <c r="D205" s="11" t="s">
        <v>9</v>
      </c>
      <c r="E205" s="11" t="s">
        <v>77</v>
      </c>
      <c r="F205" s="11" t="s">
        <v>39</v>
      </c>
      <c r="G205" s="19">
        <v>507800</v>
      </c>
      <c r="H205" s="19">
        <v>555240</v>
      </c>
      <c r="I205" s="19">
        <v>591370</v>
      </c>
      <c r="J205" s="19">
        <f>50778.2+12003+2120.45+2550+2200+195</f>
        <v>69846.65</v>
      </c>
      <c r="K205" s="41"/>
      <c r="L205" s="31"/>
    </row>
    <row r="206" spans="2:12" ht="22.5">
      <c r="B206" s="4" t="s">
        <v>64</v>
      </c>
      <c r="C206" s="11" t="s">
        <v>55</v>
      </c>
      <c r="D206" s="11" t="s">
        <v>9</v>
      </c>
      <c r="E206" s="11" t="s">
        <v>78</v>
      </c>
      <c r="F206" s="11" t="s">
        <v>11</v>
      </c>
      <c r="G206" s="19">
        <f>G207+G208+G209</f>
        <v>7657300.01</v>
      </c>
      <c r="H206" s="19">
        <f>H207+H208+H209</f>
        <v>9446970</v>
      </c>
      <c r="I206" s="19">
        <f>I207+I208+I209</f>
        <v>8972710</v>
      </c>
      <c r="J206" s="19">
        <f>J207+J208+J209</f>
        <v>931962.1100000001</v>
      </c>
      <c r="K206" s="41"/>
      <c r="L206" s="31"/>
    </row>
    <row r="207" spans="2:12" ht="22.5">
      <c r="B207" s="4" t="s">
        <v>38</v>
      </c>
      <c r="C207" s="11" t="s">
        <v>55</v>
      </c>
      <c r="D207" s="11" t="s">
        <v>9</v>
      </c>
      <c r="E207" s="11" t="s">
        <v>78</v>
      </c>
      <c r="F207" s="11" t="s">
        <v>39</v>
      </c>
      <c r="G207" s="19">
        <v>6645700.01</v>
      </c>
      <c r="H207" s="19">
        <v>8306950.01</v>
      </c>
      <c r="I207" s="19">
        <v>7810990.01</v>
      </c>
      <c r="J207" s="19">
        <f>577933.81+345+136613.65+11800+23785.55+48020.63+600+5549+1986</f>
        <v>806633.6400000001</v>
      </c>
      <c r="K207" s="41"/>
      <c r="L207" s="31"/>
    </row>
    <row r="208" spans="2:12" ht="45" customHeight="1">
      <c r="B208" s="4" t="s">
        <v>131</v>
      </c>
      <c r="C208" s="11" t="s">
        <v>55</v>
      </c>
      <c r="D208" s="11" t="s">
        <v>9</v>
      </c>
      <c r="E208" s="11" t="s">
        <v>145</v>
      </c>
      <c r="F208" s="11" t="s">
        <v>124</v>
      </c>
      <c r="G208" s="19">
        <v>96400</v>
      </c>
      <c r="H208" s="19">
        <v>114100</v>
      </c>
      <c r="I208" s="19">
        <v>135800</v>
      </c>
      <c r="J208" s="19">
        <f>43138.21</f>
        <v>43138.21</v>
      </c>
      <c r="K208" s="41"/>
      <c r="L208" s="31"/>
    </row>
    <row r="209" spans="2:12" s="14" customFormat="1" ht="67.5">
      <c r="B209" s="28" t="s">
        <v>235</v>
      </c>
      <c r="C209" s="51" t="s">
        <v>55</v>
      </c>
      <c r="D209" s="51" t="s">
        <v>9</v>
      </c>
      <c r="E209" s="51" t="s">
        <v>145</v>
      </c>
      <c r="F209" s="51" t="s">
        <v>132</v>
      </c>
      <c r="G209" s="19">
        <v>915200</v>
      </c>
      <c r="H209" s="19">
        <v>1025919.99</v>
      </c>
      <c r="I209" s="19">
        <v>1025919.99</v>
      </c>
      <c r="J209" s="19">
        <f>67112.91+15077.35</f>
        <v>82190.26000000001</v>
      </c>
      <c r="K209" s="41"/>
      <c r="L209" s="31"/>
    </row>
    <row r="210" spans="2:12" ht="34.5" customHeight="1">
      <c r="B210" s="4" t="s">
        <v>307</v>
      </c>
      <c r="C210" s="11" t="s">
        <v>55</v>
      </c>
      <c r="D210" s="11" t="s">
        <v>9</v>
      </c>
      <c r="E210" s="11" t="s">
        <v>306</v>
      </c>
      <c r="F210" s="11" t="s">
        <v>11</v>
      </c>
      <c r="G210" s="19">
        <f>G211</f>
        <v>452700</v>
      </c>
      <c r="H210" s="19">
        <f>H211</f>
        <v>317000</v>
      </c>
      <c r="I210" s="19">
        <f>I211</f>
        <v>115900</v>
      </c>
      <c r="J210" s="19">
        <f>J211</f>
        <v>24979.05</v>
      </c>
      <c r="K210" s="41"/>
      <c r="L210" s="31"/>
    </row>
    <row r="211" spans="2:12" ht="22.5" customHeight="1">
      <c r="B211" s="4" t="s">
        <v>38</v>
      </c>
      <c r="C211" s="11" t="s">
        <v>55</v>
      </c>
      <c r="D211" s="11" t="s">
        <v>9</v>
      </c>
      <c r="E211" s="11" t="s">
        <v>306</v>
      </c>
      <c r="F211" s="11" t="s">
        <v>39</v>
      </c>
      <c r="G211" s="19">
        <v>452700</v>
      </c>
      <c r="H211" s="19">
        <v>317000</v>
      </c>
      <c r="I211" s="19">
        <v>115900</v>
      </c>
      <c r="J211" s="19">
        <v>24979.05</v>
      </c>
      <c r="K211" s="41"/>
      <c r="L211" s="31"/>
    </row>
    <row r="212" spans="2:12" ht="33.75">
      <c r="B212" s="6" t="s">
        <v>79</v>
      </c>
      <c r="C212" s="10" t="s">
        <v>55</v>
      </c>
      <c r="D212" s="10" t="s">
        <v>31</v>
      </c>
      <c r="E212" s="10" t="s">
        <v>8</v>
      </c>
      <c r="F212" s="10" t="s">
        <v>11</v>
      </c>
      <c r="G212" s="21">
        <f>G213+G215</f>
        <v>3139370</v>
      </c>
      <c r="H212" s="21">
        <f>H213+H215</f>
        <v>3209840</v>
      </c>
      <c r="I212" s="21">
        <f>I213+I215</f>
        <v>3270429.9899999998</v>
      </c>
      <c r="J212" s="21">
        <f>J213+J215</f>
        <v>445352.72</v>
      </c>
      <c r="K212" s="41"/>
      <c r="L212" s="31"/>
    </row>
    <row r="213" spans="2:12" ht="12.75">
      <c r="B213" s="4" t="s">
        <v>20</v>
      </c>
      <c r="C213" s="13" t="s">
        <v>55</v>
      </c>
      <c r="D213" s="13" t="s">
        <v>31</v>
      </c>
      <c r="E213" s="13" t="s">
        <v>21</v>
      </c>
      <c r="F213" s="13" t="s">
        <v>11</v>
      </c>
      <c r="G213" s="22">
        <f>G214</f>
        <v>909570</v>
      </c>
      <c r="H213" s="22">
        <f>H214</f>
        <v>957017.8</v>
      </c>
      <c r="I213" s="22">
        <f>I214</f>
        <v>998590.59</v>
      </c>
      <c r="J213" s="22">
        <f>J214</f>
        <v>121033.34</v>
      </c>
      <c r="K213" s="41"/>
      <c r="L213" s="31"/>
    </row>
    <row r="214" spans="2:12" ht="22.5">
      <c r="B214" s="4" t="s">
        <v>18</v>
      </c>
      <c r="C214" s="13" t="s">
        <v>55</v>
      </c>
      <c r="D214" s="13" t="s">
        <v>31</v>
      </c>
      <c r="E214" s="13" t="s">
        <v>21</v>
      </c>
      <c r="F214" s="13" t="s">
        <v>154</v>
      </c>
      <c r="G214" s="22">
        <v>909570</v>
      </c>
      <c r="H214" s="22">
        <v>957017.8</v>
      </c>
      <c r="I214" s="22">
        <v>998590.59</v>
      </c>
      <c r="J214" s="22">
        <f>91242.16+23124.51+6666.67</f>
        <v>121033.34</v>
      </c>
      <c r="K214" s="41"/>
      <c r="L214" s="31"/>
    </row>
    <row r="215" spans="2:12" ht="22.5">
      <c r="B215" s="4" t="s">
        <v>64</v>
      </c>
      <c r="C215" s="11" t="s">
        <v>55</v>
      </c>
      <c r="D215" s="11" t="s">
        <v>31</v>
      </c>
      <c r="E215" s="11" t="s">
        <v>80</v>
      </c>
      <c r="F215" s="11" t="s">
        <v>11</v>
      </c>
      <c r="G215" s="17">
        <f>G216</f>
        <v>2229800</v>
      </c>
      <c r="H215" s="17">
        <f>H216</f>
        <v>2252822.2</v>
      </c>
      <c r="I215" s="17">
        <f>I216</f>
        <v>2271839.4</v>
      </c>
      <c r="J215" s="17">
        <f>J216</f>
        <v>324319.38</v>
      </c>
      <c r="K215" s="41"/>
      <c r="L215" s="31"/>
    </row>
    <row r="216" spans="2:12" ht="22.5">
      <c r="B216" s="4" t="s">
        <v>38</v>
      </c>
      <c r="C216" s="11" t="s">
        <v>55</v>
      </c>
      <c r="D216" s="11" t="s">
        <v>81</v>
      </c>
      <c r="E216" s="11" t="s">
        <v>80</v>
      </c>
      <c r="F216" s="11" t="s">
        <v>82</v>
      </c>
      <c r="G216" s="17">
        <v>2229800</v>
      </c>
      <c r="H216" s="17">
        <v>2252822.2</v>
      </c>
      <c r="I216" s="17">
        <v>2271839.4</v>
      </c>
      <c r="J216" s="17">
        <f>263010.35+47381.03+4165.67+1113+7683.33+586+380</f>
        <v>324319.38</v>
      </c>
      <c r="K216" s="41"/>
      <c r="L216" s="31"/>
    </row>
    <row r="217" spans="2:12" ht="22.5">
      <c r="B217" s="7" t="s">
        <v>83</v>
      </c>
      <c r="C217" s="9" t="s">
        <v>72</v>
      </c>
      <c r="D217" s="9" t="s">
        <v>10</v>
      </c>
      <c r="E217" s="9" t="s">
        <v>8</v>
      </c>
      <c r="F217" s="9" t="s">
        <v>11</v>
      </c>
      <c r="G217" s="24">
        <f>G218+G230+G247+G250+G242</f>
        <v>111612310</v>
      </c>
      <c r="H217" s="24">
        <f>H218+H230+H247+H250+H242</f>
        <v>122162900</v>
      </c>
      <c r="I217" s="24">
        <f>I218+I230+I247+I250+I242</f>
        <v>126864030</v>
      </c>
      <c r="J217" s="24">
        <f>J218+J230+J247+J250+J242</f>
        <v>15021616.94</v>
      </c>
      <c r="K217" s="32"/>
      <c r="L217" s="33"/>
    </row>
    <row r="218" spans="2:12" ht="12.75">
      <c r="B218" s="6" t="s">
        <v>84</v>
      </c>
      <c r="C218" s="10" t="s">
        <v>72</v>
      </c>
      <c r="D218" s="10" t="s">
        <v>9</v>
      </c>
      <c r="E218" s="10" t="s">
        <v>8</v>
      </c>
      <c r="F218" s="10" t="s">
        <v>11</v>
      </c>
      <c r="G218" s="21">
        <f>G221+G219+G226+G228</f>
        <v>77189949.64</v>
      </c>
      <c r="H218" s="21">
        <f>H221+H219+H226+H228</f>
        <v>82986360</v>
      </c>
      <c r="I218" s="21">
        <f>I221+I219+I226+I228</f>
        <v>87018420</v>
      </c>
      <c r="J218" s="21">
        <f>J221+J219+J226+J228</f>
        <v>11128849.18</v>
      </c>
      <c r="K218" s="32"/>
      <c r="L218" s="33"/>
    </row>
    <row r="219" spans="2:12" ht="22.5">
      <c r="B219" s="4" t="s">
        <v>310</v>
      </c>
      <c r="C219" s="11" t="s">
        <v>72</v>
      </c>
      <c r="D219" s="11" t="s">
        <v>9</v>
      </c>
      <c r="E219" s="13" t="s">
        <v>322</v>
      </c>
      <c r="F219" s="13" t="s">
        <v>11</v>
      </c>
      <c r="G219" s="27">
        <f>G220</f>
        <v>100000</v>
      </c>
      <c r="H219" s="27">
        <f>H220</f>
        <v>0</v>
      </c>
      <c r="I219" s="27">
        <f>I220</f>
        <v>0</v>
      </c>
      <c r="J219" s="27">
        <f>J220</f>
        <v>100000</v>
      </c>
      <c r="K219" s="32"/>
      <c r="L219" s="33"/>
    </row>
    <row r="220" spans="2:12" ht="22.5">
      <c r="B220" s="4" t="s">
        <v>64</v>
      </c>
      <c r="C220" s="11" t="s">
        <v>72</v>
      </c>
      <c r="D220" s="11" t="s">
        <v>9</v>
      </c>
      <c r="E220" s="13" t="s">
        <v>322</v>
      </c>
      <c r="F220" s="13" t="s">
        <v>308</v>
      </c>
      <c r="G220" s="27">
        <v>100000</v>
      </c>
      <c r="H220" s="27">
        <v>0</v>
      </c>
      <c r="I220" s="27">
        <v>0</v>
      </c>
      <c r="J220" s="27">
        <v>100000</v>
      </c>
      <c r="K220" s="32"/>
      <c r="L220" s="33"/>
    </row>
    <row r="221" spans="2:12" ht="22.5">
      <c r="B221" s="4" t="s">
        <v>64</v>
      </c>
      <c r="C221" s="11" t="s">
        <v>72</v>
      </c>
      <c r="D221" s="11" t="s">
        <v>9</v>
      </c>
      <c r="E221" s="11" t="s">
        <v>85</v>
      </c>
      <c r="F221" s="11" t="s">
        <v>11</v>
      </c>
      <c r="G221" s="17">
        <f>G222+G223+G224+G225</f>
        <v>50281957.89</v>
      </c>
      <c r="H221" s="17">
        <f>H222+H223+H224+H225</f>
        <v>54670200</v>
      </c>
      <c r="I221" s="17">
        <f>I222+I223+I224+I225</f>
        <v>58021590</v>
      </c>
      <c r="J221" s="17">
        <f>J222+J223+J224+J225</f>
        <v>6984009.4</v>
      </c>
      <c r="K221" s="41"/>
      <c r="L221" s="31"/>
    </row>
    <row r="222" spans="2:12" ht="22.5">
      <c r="B222" s="4" t="s">
        <v>38</v>
      </c>
      <c r="C222" s="11" t="s">
        <v>72</v>
      </c>
      <c r="D222" s="11" t="s">
        <v>9</v>
      </c>
      <c r="E222" s="11" t="s">
        <v>85</v>
      </c>
      <c r="F222" s="11" t="s">
        <v>39</v>
      </c>
      <c r="G222" s="17">
        <v>45554957.89</v>
      </c>
      <c r="H222" s="17">
        <v>49056700</v>
      </c>
      <c r="I222" s="17">
        <v>51721590</v>
      </c>
      <c r="J222" s="17">
        <v>5830746.84</v>
      </c>
      <c r="K222" s="41"/>
      <c r="L222" s="31"/>
    </row>
    <row r="223" spans="2:12" ht="45" customHeight="1">
      <c r="B223" s="4" t="s">
        <v>161</v>
      </c>
      <c r="C223" s="11" t="s">
        <v>72</v>
      </c>
      <c r="D223" s="11" t="s">
        <v>9</v>
      </c>
      <c r="E223" s="11" t="s">
        <v>85</v>
      </c>
      <c r="F223" s="11" t="s">
        <v>275</v>
      </c>
      <c r="G223" s="17">
        <v>0</v>
      </c>
      <c r="H223" s="17">
        <v>0</v>
      </c>
      <c r="I223" s="17">
        <v>0</v>
      </c>
      <c r="J223" s="17"/>
      <c r="K223" s="41"/>
      <c r="L223" s="31"/>
    </row>
    <row r="224" spans="2:12" ht="45" customHeight="1">
      <c r="B224" s="4" t="s">
        <v>161</v>
      </c>
      <c r="C224" s="11" t="s">
        <v>72</v>
      </c>
      <c r="D224" s="11" t="s">
        <v>9</v>
      </c>
      <c r="E224" s="11" t="s">
        <v>85</v>
      </c>
      <c r="F224" s="11" t="s">
        <v>162</v>
      </c>
      <c r="G224" s="17">
        <v>2000000</v>
      </c>
      <c r="H224" s="17">
        <v>2000000</v>
      </c>
      <c r="I224" s="17">
        <v>2000000</v>
      </c>
      <c r="J224" s="17"/>
      <c r="K224" s="41"/>
      <c r="L224" s="31"/>
    </row>
    <row r="225" spans="2:12" ht="55.5" customHeight="1">
      <c r="B225" s="4" t="s">
        <v>163</v>
      </c>
      <c r="C225" s="11" t="s">
        <v>72</v>
      </c>
      <c r="D225" s="11" t="s">
        <v>9</v>
      </c>
      <c r="E225" s="11" t="s">
        <v>85</v>
      </c>
      <c r="F225" s="11" t="s">
        <v>124</v>
      </c>
      <c r="G225" s="17">
        <v>2727000</v>
      </c>
      <c r="H225" s="17">
        <v>3613500</v>
      </c>
      <c r="I225" s="17">
        <v>4300000</v>
      </c>
      <c r="J225" s="17">
        <v>1153262.56</v>
      </c>
      <c r="K225" s="38"/>
      <c r="L225" s="39"/>
    </row>
    <row r="226" spans="2:12" ht="24" customHeight="1">
      <c r="B226" s="28" t="s">
        <v>64</v>
      </c>
      <c r="C226" s="11" t="s">
        <v>72</v>
      </c>
      <c r="D226" s="11" t="s">
        <v>9</v>
      </c>
      <c r="E226" s="11" t="s">
        <v>87</v>
      </c>
      <c r="F226" s="11" t="s">
        <v>11</v>
      </c>
      <c r="G226" s="17">
        <f>G227</f>
        <v>26580591.75</v>
      </c>
      <c r="H226" s="17">
        <f>H227</f>
        <v>28316160</v>
      </c>
      <c r="I226" s="17">
        <f>I227</f>
        <v>28996830</v>
      </c>
      <c r="J226" s="17">
        <f>J227</f>
        <v>3862639.7800000003</v>
      </c>
      <c r="K226" s="38"/>
      <c r="L226" s="39"/>
    </row>
    <row r="227" spans="2:12" ht="24" customHeight="1">
      <c r="B227" s="4" t="s">
        <v>38</v>
      </c>
      <c r="C227" s="11" t="s">
        <v>72</v>
      </c>
      <c r="D227" s="11" t="s">
        <v>9</v>
      </c>
      <c r="E227" s="11" t="s">
        <v>87</v>
      </c>
      <c r="F227" s="11" t="s">
        <v>39</v>
      </c>
      <c r="G227" s="17">
        <v>26580591.75</v>
      </c>
      <c r="H227" s="17">
        <v>28316160</v>
      </c>
      <c r="I227" s="17">
        <v>28996830</v>
      </c>
      <c r="J227" s="17">
        <f>2435100+697383.89+91.75+13464.84+164370+552229.3</f>
        <v>3862639.7800000003</v>
      </c>
      <c r="K227" s="38"/>
      <c r="L227" s="39"/>
    </row>
    <row r="228" spans="2:12" s="14" customFormat="1" ht="24" customHeight="1">
      <c r="B228" s="28" t="s">
        <v>329</v>
      </c>
      <c r="C228" s="51" t="s">
        <v>72</v>
      </c>
      <c r="D228" s="51" t="s">
        <v>9</v>
      </c>
      <c r="E228" s="51" t="s">
        <v>88</v>
      </c>
      <c r="F228" s="51" t="s">
        <v>11</v>
      </c>
      <c r="G228" s="19">
        <f>G229</f>
        <v>227400</v>
      </c>
      <c r="H228" s="19">
        <f>H229</f>
        <v>0</v>
      </c>
      <c r="I228" s="19">
        <f>I229</f>
        <v>0</v>
      </c>
      <c r="J228" s="19">
        <f>J229</f>
        <v>182200</v>
      </c>
      <c r="K228" s="38"/>
      <c r="L228" s="39"/>
    </row>
    <row r="229" spans="2:12" ht="24" customHeight="1">
      <c r="B229" s="4" t="s">
        <v>38</v>
      </c>
      <c r="C229" s="11" t="s">
        <v>72</v>
      </c>
      <c r="D229" s="11" t="s">
        <v>9</v>
      </c>
      <c r="E229" s="11" t="s">
        <v>88</v>
      </c>
      <c r="F229" s="11" t="s">
        <v>39</v>
      </c>
      <c r="G229" s="17">
        <v>227400</v>
      </c>
      <c r="H229" s="17">
        <v>0</v>
      </c>
      <c r="I229" s="17">
        <v>0</v>
      </c>
      <c r="J229" s="17">
        <f>182200</f>
        <v>182200</v>
      </c>
      <c r="K229" s="38"/>
      <c r="L229" s="39"/>
    </row>
    <row r="230" spans="2:12" ht="12.75">
      <c r="B230" s="6" t="s">
        <v>86</v>
      </c>
      <c r="C230" s="10" t="s">
        <v>72</v>
      </c>
      <c r="D230" s="10" t="s">
        <v>13</v>
      </c>
      <c r="E230" s="10" t="s">
        <v>8</v>
      </c>
      <c r="F230" s="10" t="s">
        <v>11</v>
      </c>
      <c r="G230" s="21">
        <f>G231+G233+G236+G239</f>
        <v>13449865.36</v>
      </c>
      <c r="H230" s="21">
        <f>H231+H233+H236+H239</f>
        <v>14338240</v>
      </c>
      <c r="I230" s="21">
        <f>I231+I233+I236+I239</f>
        <v>14899900</v>
      </c>
      <c r="J230" s="21">
        <f>J231+J233+J236+J239</f>
        <v>2124301.57</v>
      </c>
      <c r="K230" s="40"/>
      <c r="L230" s="34"/>
    </row>
    <row r="231" spans="2:12" ht="22.5">
      <c r="B231" s="4" t="s">
        <v>64</v>
      </c>
      <c r="C231" s="15" t="s">
        <v>72</v>
      </c>
      <c r="D231" s="15" t="s">
        <v>13</v>
      </c>
      <c r="E231" s="15" t="s">
        <v>276</v>
      </c>
      <c r="F231" s="15" t="s">
        <v>11</v>
      </c>
      <c r="G231" s="27">
        <f>G232</f>
        <v>0</v>
      </c>
      <c r="H231" s="27">
        <f>H232</f>
        <v>0</v>
      </c>
      <c r="I231" s="27">
        <f>I232</f>
        <v>0</v>
      </c>
      <c r="J231" s="27">
        <f>J232</f>
        <v>0</v>
      </c>
      <c r="K231" s="41"/>
      <c r="L231" s="31"/>
    </row>
    <row r="232" spans="2:12" ht="22.5">
      <c r="B232" s="4" t="s">
        <v>38</v>
      </c>
      <c r="C232" s="15" t="s">
        <v>72</v>
      </c>
      <c r="D232" s="15" t="s">
        <v>13</v>
      </c>
      <c r="E232" s="15" t="s">
        <v>85</v>
      </c>
      <c r="F232" s="15" t="s">
        <v>39</v>
      </c>
      <c r="G232" s="27">
        <v>0</v>
      </c>
      <c r="H232" s="27">
        <v>0</v>
      </c>
      <c r="I232" s="27">
        <v>0</v>
      </c>
      <c r="J232" s="27"/>
      <c r="K232" s="41"/>
      <c r="L232" s="31"/>
    </row>
    <row r="233" spans="2:12" ht="22.5">
      <c r="B233" s="4" t="s">
        <v>64</v>
      </c>
      <c r="C233" s="11" t="s">
        <v>72</v>
      </c>
      <c r="D233" s="11" t="s">
        <v>13</v>
      </c>
      <c r="E233" s="11" t="s">
        <v>87</v>
      </c>
      <c r="F233" s="11" t="s">
        <v>11</v>
      </c>
      <c r="G233" s="17">
        <f>G234+G235</f>
        <v>1055800</v>
      </c>
      <c r="H233" s="17">
        <f>H234+H235</f>
        <v>1266600</v>
      </c>
      <c r="I233" s="17">
        <f>I234+I235</f>
        <v>1507200</v>
      </c>
      <c r="J233" s="17">
        <f>J234+J235</f>
        <v>187327.63</v>
      </c>
      <c r="K233" s="41"/>
      <c r="L233" s="31"/>
    </row>
    <row r="234" spans="2:12" ht="27" customHeight="1">
      <c r="B234" s="4" t="s">
        <v>38</v>
      </c>
      <c r="C234" s="11" t="s">
        <v>72</v>
      </c>
      <c r="D234" s="11" t="s">
        <v>13</v>
      </c>
      <c r="E234" s="11" t="s">
        <v>87</v>
      </c>
      <c r="F234" s="11" t="s">
        <v>39</v>
      </c>
      <c r="G234" s="17">
        <v>0</v>
      </c>
      <c r="H234" s="17">
        <v>0</v>
      </c>
      <c r="I234" s="17">
        <v>0</v>
      </c>
      <c r="J234" s="17"/>
      <c r="K234" s="41"/>
      <c r="L234" s="31"/>
    </row>
    <row r="235" spans="2:12" ht="48.75" customHeight="1">
      <c r="B235" s="4" t="s">
        <v>123</v>
      </c>
      <c r="C235" s="11" t="s">
        <v>72</v>
      </c>
      <c r="D235" s="11" t="s">
        <v>13</v>
      </c>
      <c r="E235" s="11" t="s">
        <v>87</v>
      </c>
      <c r="F235" s="11" t="s">
        <v>124</v>
      </c>
      <c r="G235" s="17">
        <v>1055800</v>
      </c>
      <c r="H235" s="17">
        <v>1266600</v>
      </c>
      <c r="I235" s="17">
        <v>1507200</v>
      </c>
      <c r="J235" s="17">
        <f>187327.63</f>
        <v>187327.63</v>
      </c>
      <c r="K235" s="41"/>
      <c r="L235" s="31"/>
    </row>
    <row r="236" spans="2:12" ht="22.5">
      <c r="B236" s="4" t="s">
        <v>64</v>
      </c>
      <c r="C236" s="11" t="s">
        <v>72</v>
      </c>
      <c r="D236" s="11" t="s">
        <v>13</v>
      </c>
      <c r="E236" s="11" t="s">
        <v>88</v>
      </c>
      <c r="F236" s="11" t="s">
        <v>11</v>
      </c>
      <c r="G236" s="17">
        <f>G237+G238</f>
        <v>7561465.36</v>
      </c>
      <c r="H236" s="17">
        <f>H237+H238</f>
        <v>8101240</v>
      </c>
      <c r="I236" s="17">
        <f>I237+I238</f>
        <v>8422300</v>
      </c>
      <c r="J236" s="17">
        <f>J237+J238</f>
        <v>1493072.94</v>
      </c>
      <c r="K236" s="40"/>
      <c r="L236" s="34"/>
    </row>
    <row r="237" spans="2:12" ht="22.5">
      <c r="B237" s="4" t="s">
        <v>38</v>
      </c>
      <c r="C237" s="11" t="s">
        <v>72</v>
      </c>
      <c r="D237" s="11" t="s">
        <v>13</v>
      </c>
      <c r="E237" s="11" t="s">
        <v>88</v>
      </c>
      <c r="F237" s="11" t="s">
        <v>39</v>
      </c>
      <c r="G237" s="17">
        <v>6761965.36</v>
      </c>
      <c r="H237" s="17">
        <v>7152640</v>
      </c>
      <c r="I237" s="17">
        <v>7293300</v>
      </c>
      <c r="J237" s="17">
        <f>775765.36+155594+438000</f>
        <v>1369359.3599999999</v>
      </c>
      <c r="K237" s="32"/>
      <c r="L237" s="33"/>
    </row>
    <row r="238" spans="2:12" s="14" customFormat="1" ht="48.75" customHeight="1">
      <c r="B238" s="28" t="s">
        <v>123</v>
      </c>
      <c r="C238" s="51" t="s">
        <v>72</v>
      </c>
      <c r="D238" s="51" t="s">
        <v>13</v>
      </c>
      <c r="E238" s="51" t="s">
        <v>88</v>
      </c>
      <c r="F238" s="51" t="s">
        <v>124</v>
      </c>
      <c r="G238" s="19">
        <v>799500</v>
      </c>
      <c r="H238" s="19">
        <v>948600</v>
      </c>
      <c r="I238" s="19">
        <v>1129000</v>
      </c>
      <c r="J238" s="19">
        <f>123713.58</f>
        <v>123713.58</v>
      </c>
      <c r="K238" s="32"/>
      <c r="L238" s="33"/>
    </row>
    <row r="239" spans="2:12" ht="56.25">
      <c r="B239" s="4" t="s">
        <v>150</v>
      </c>
      <c r="C239" s="11" t="s">
        <v>72</v>
      </c>
      <c r="D239" s="11" t="s">
        <v>13</v>
      </c>
      <c r="E239" s="11" t="s">
        <v>151</v>
      </c>
      <c r="F239" s="11" t="s">
        <v>11</v>
      </c>
      <c r="G239" s="17">
        <f>G240+G241</f>
        <v>4832600</v>
      </c>
      <c r="H239" s="17">
        <f>H240+H241</f>
        <v>4970400</v>
      </c>
      <c r="I239" s="17">
        <f>I240+I241</f>
        <v>4970400</v>
      </c>
      <c r="J239" s="17">
        <f>J240+J241</f>
        <v>443901</v>
      </c>
      <c r="K239" s="41"/>
      <c r="L239" s="31"/>
    </row>
    <row r="240" spans="2:12" ht="22.5">
      <c r="B240" s="4" t="s">
        <v>38</v>
      </c>
      <c r="C240" s="11" t="s">
        <v>72</v>
      </c>
      <c r="D240" s="11" t="s">
        <v>13</v>
      </c>
      <c r="E240" s="11" t="s">
        <v>151</v>
      </c>
      <c r="F240" s="11" t="s">
        <v>39</v>
      </c>
      <c r="G240" s="17">
        <v>4832600</v>
      </c>
      <c r="H240" s="17">
        <v>4970400</v>
      </c>
      <c r="I240" s="17">
        <v>4970400</v>
      </c>
      <c r="J240" s="17">
        <f>304434+139467</f>
        <v>443901</v>
      </c>
      <c r="K240" s="41"/>
      <c r="L240" s="31"/>
    </row>
    <row r="241" spans="2:12" ht="24" customHeight="1">
      <c r="B241" s="4" t="s">
        <v>18</v>
      </c>
      <c r="C241" s="11" t="s">
        <v>72</v>
      </c>
      <c r="D241" s="11" t="s">
        <v>13</v>
      </c>
      <c r="E241" s="11" t="s">
        <v>151</v>
      </c>
      <c r="F241" s="11" t="s">
        <v>154</v>
      </c>
      <c r="G241" s="17">
        <v>0</v>
      </c>
      <c r="H241" s="17">
        <v>0</v>
      </c>
      <c r="I241" s="17">
        <v>0</v>
      </c>
      <c r="J241" s="17">
        <v>0</v>
      </c>
      <c r="K241" s="41"/>
      <c r="L241" s="31"/>
    </row>
    <row r="242" spans="2:12" ht="13.5" customHeight="1">
      <c r="B242" s="6" t="s">
        <v>277</v>
      </c>
      <c r="C242" s="10" t="s">
        <v>72</v>
      </c>
      <c r="D242" s="10" t="s">
        <v>25</v>
      </c>
      <c r="E242" s="10" t="s">
        <v>8</v>
      </c>
      <c r="F242" s="10" t="s">
        <v>11</v>
      </c>
      <c r="G242" s="21">
        <f>G243+G245</f>
        <v>18776695</v>
      </c>
      <c r="H242" s="21">
        <f>H243+H245</f>
        <v>22558400</v>
      </c>
      <c r="I242" s="21">
        <f>I243+I245</f>
        <v>22524100</v>
      </c>
      <c r="J242" s="21">
        <f>J243+J245</f>
        <v>1428231.19</v>
      </c>
      <c r="K242" s="41"/>
      <c r="L242" s="31"/>
    </row>
    <row r="243" spans="2:12" ht="25.5" customHeight="1">
      <c r="B243" s="4" t="s">
        <v>64</v>
      </c>
      <c r="C243" s="11" t="s">
        <v>72</v>
      </c>
      <c r="D243" s="11" t="s">
        <v>25</v>
      </c>
      <c r="E243" s="11" t="s">
        <v>276</v>
      </c>
      <c r="F243" s="11" t="s">
        <v>11</v>
      </c>
      <c r="G243" s="17">
        <f>G244</f>
        <v>7750750</v>
      </c>
      <c r="H243" s="17">
        <f>H244</f>
        <v>10667700</v>
      </c>
      <c r="I243" s="17">
        <f>I244</f>
        <v>10456880</v>
      </c>
      <c r="J243" s="17">
        <f>J244</f>
        <v>522654.92</v>
      </c>
      <c r="K243" s="41"/>
      <c r="L243" s="31"/>
    </row>
    <row r="244" spans="2:12" ht="25.5" customHeight="1">
      <c r="B244" s="4" t="s">
        <v>38</v>
      </c>
      <c r="C244" s="11" t="s">
        <v>72</v>
      </c>
      <c r="D244" s="11" t="s">
        <v>25</v>
      </c>
      <c r="E244" s="11" t="s">
        <v>85</v>
      </c>
      <c r="F244" s="11" t="s">
        <v>39</v>
      </c>
      <c r="G244" s="17">
        <v>7750750</v>
      </c>
      <c r="H244" s="17">
        <v>10667700</v>
      </c>
      <c r="I244" s="17">
        <v>10456880</v>
      </c>
      <c r="J244" s="17">
        <f>440100+82469+85.92</f>
        <v>522654.92</v>
      </c>
      <c r="K244" s="41"/>
      <c r="L244" s="31"/>
    </row>
    <row r="245" spans="2:12" s="14" customFormat="1" ht="25.5" customHeight="1">
      <c r="B245" s="28" t="s">
        <v>329</v>
      </c>
      <c r="C245" s="51" t="s">
        <v>72</v>
      </c>
      <c r="D245" s="51" t="s">
        <v>25</v>
      </c>
      <c r="E245" s="51" t="s">
        <v>87</v>
      </c>
      <c r="F245" s="51" t="s">
        <v>11</v>
      </c>
      <c r="G245" s="19">
        <f>G246</f>
        <v>11025945</v>
      </c>
      <c r="H245" s="19">
        <f>H246</f>
        <v>11890700</v>
      </c>
      <c r="I245" s="19">
        <f>I246</f>
        <v>12067220</v>
      </c>
      <c r="J245" s="19">
        <f>J246</f>
        <v>905576.27</v>
      </c>
      <c r="K245" s="41"/>
      <c r="L245" s="31"/>
    </row>
    <row r="246" spans="2:12" s="14" customFormat="1" ht="25.5" customHeight="1">
      <c r="B246" s="28" t="s">
        <v>38</v>
      </c>
      <c r="C246" s="51" t="s">
        <v>72</v>
      </c>
      <c r="D246" s="51" t="s">
        <v>25</v>
      </c>
      <c r="E246" s="51" t="s">
        <v>87</v>
      </c>
      <c r="F246" s="51" t="s">
        <v>39</v>
      </c>
      <c r="G246" s="19">
        <v>11025945</v>
      </c>
      <c r="H246" s="19">
        <v>11890700</v>
      </c>
      <c r="I246" s="19">
        <v>12067220</v>
      </c>
      <c r="J246" s="19">
        <f>748714.36+130012+26849.91</f>
        <v>905576.27</v>
      </c>
      <c r="K246" s="41"/>
      <c r="L246" s="31"/>
    </row>
    <row r="247" spans="2:12" ht="12.75">
      <c r="B247" s="6" t="s">
        <v>89</v>
      </c>
      <c r="C247" s="10" t="s">
        <v>72</v>
      </c>
      <c r="D247" s="10" t="s">
        <v>55</v>
      </c>
      <c r="E247" s="10" t="s">
        <v>8</v>
      </c>
      <c r="F247" s="10" t="s">
        <v>11</v>
      </c>
      <c r="G247" s="21">
        <f aca="true" t="shared" si="4" ref="G247:J248">G248</f>
        <v>700000</v>
      </c>
      <c r="H247" s="21">
        <f t="shared" si="4"/>
        <v>700000</v>
      </c>
      <c r="I247" s="21">
        <f t="shared" si="4"/>
        <v>700000</v>
      </c>
      <c r="J247" s="21">
        <f t="shared" si="4"/>
        <v>5000</v>
      </c>
      <c r="K247" s="41"/>
      <c r="L247" s="31"/>
    </row>
    <row r="248" spans="2:12" ht="32.25" customHeight="1">
      <c r="B248" s="4" t="s">
        <v>237</v>
      </c>
      <c r="C248" s="11" t="s">
        <v>72</v>
      </c>
      <c r="D248" s="11" t="s">
        <v>55</v>
      </c>
      <c r="E248" s="11" t="s">
        <v>278</v>
      </c>
      <c r="F248" s="11" t="s">
        <v>11</v>
      </c>
      <c r="G248" s="17">
        <f t="shared" si="4"/>
        <v>700000</v>
      </c>
      <c r="H248" s="17">
        <f t="shared" si="4"/>
        <v>700000</v>
      </c>
      <c r="I248" s="17">
        <f t="shared" si="4"/>
        <v>700000</v>
      </c>
      <c r="J248" s="17">
        <f t="shared" si="4"/>
        <v>5000</v>
      </c>
      <c r="K248" s="41"/>
      <c r="L248" s="31"/>
    </row>
    <row r="249" spans="2:12" ht="21.75" customHeight="1">
      <c r="B249" s="4" t="s">
        <v>18</v>
      </c>
      <c r="C249" s="11" t="s">
        <v>72</v>
      </c>
      <c r="D249" s="11" t="s">
        <v>55</v>
      </c>
      <c r="E249" s="11" t="s">
        <v>278</v>
      </c>
      <c r="F249" s="11" t="s">
        <v>154</v>
      </c>
      <c r="G249" s="17">
        <v>700000</v>
      </c>
      <c r="H249" s="17">
        <v>700000</v>
      </c>
      <c r="I249" s="17">
        <v>700000</v>
      </c>
      <c r="J249" s="17">
        <v>5000</v>
      </c>
      <c r="K249" s="40"/>
      <c r="L249" s="34"/>
    </row>
    <row r="250" spans="2:12" ht="33.75">
      <c r="B250" s="6" t="s">
        <v>90</v>
      </c>
      <c r="C250" s="10" t="s">
        <v>72</v>
      </c>
      <c r="D250" s="10" t="s">
        <v>91</v>
      </c>
      <c r="E250" s="10" t="s">
        <v>8</v>
      </c>
      <c r="F250" s="10" t="s">
        <v>11</v>
      </c>
      <c r="G250" s="21">
        <f aca="true" t="shared" si="5" ref="G250:J251">G251</f>
        <v>1495800</v>
      </c>
      <c r="H250" s="21">
        <f t="shared" si="5"/>
        <v>1579900</v>
      </c>
      <c r="I250" s="21">
        <f t="shared" si="5"/>
        <v>1721610</v>
      </c>
      <c r="J250" s="21">
        <f t="shared" si="5"/>
        <v>335235</v>
      </c>
      <c r="K250" s="41"/>
      <c r="L250" s="31"/>
    </row>
    <row r="251" spans="2:12" ht="22.5">
      <c r="B251" s="4" t="s">
        <v>64</v>
      </c>
      <c r="C251" s="11" t="s">
        <v>72</v>
      </c>
      <c r="D251" s="11" t="s">
        <v>91</v>
      </c>
      <c r="E251" s="11" t="s">
        <v>80</v>
      </c>
      <c r="F251" s="11" t="s">
        <v>11</v>
      </c>
      <c r="G251" s="17">
        <f t="shared" si="5"/>
        <v>1495800</v>
      </c>
      <c r="H251" s="17">
        <f t="shared" si="5"/>
        <v>1579900</v>
      </c>
      <c r="I251" s="17">
        <f t="shared" si="5"/>
        <v>1721610</v>
      </c>
      <c r="J251" s="17">
        <f t="shared" si="5"/>
        <v>335235</v>
      </c>
      <c r="K251" s="32"/>
      <c r="L251" s="33"/>
    </row>
    <row r="252" spans="2:12" ht="22.5">
      <c r="B252" s="4" t="s">
        <v>38</v>
      </c>
      <c r="C252" s="11" t="s">
        <v>72</v>
      </c>
      <c r="D252" s="11" t="s">
        <v>91</v>
      </c>
      <c r="E252" s="11" t="s">
        <v>80</v>
      </c>
      <c r="F252" s="11" t="s">
        <v>39</v>
      </c>
      <c r="G252" s="17">
        <v>1495800</v>
      </c>
      <c r="H252" s="17">
        <v>1579900</v>
      </c>
      <c r="I252" s="17">
        <v>1721610</v>
      </c>
      <c r="J252" s="17">
        <v>335235</v>
      </c>
      <c r="K252" s="32"/>
      <c r="L252" s="33"/>
    </row>
    <row r="253" spans="2:12" ht="12.75">
      <c r="B253" s="7" t="s">
        <v>92</v>
      </c>
      <c r="C253" s="9" t="s">
        <v>91</v>
      </c>
      <c r="D253" s="9" t="s">
        <v>10</v>
      </c>
      <c r="E253" s="9" t="s">
        <v>8</v>
      </c>
      <c r="F253" s="9" t="s">
        <v>11</v>
      </c>
      <c r="G253" s="24">
        <f>G254+G257+G260+G296+G301</f>
        <v>188568819.45000002</v>
      </c>
      <c r="H253" s="24">
        <f>H254+H257+H260+H296+H301</f>
        <v>177152500</v>
      </c>
      <c r="I253" s="24">
        <f>I254+I257+I260+I296+I301</f>
        <v>199101900</v>
      </c>
      <c r="J253" s="24">
        <f>J254+J257+J260+J296+J301</f>
        <v>45554371.989999995</v>
      </c>
      <c r="K253" s="40"/>
      <c r="L253" s="34"/>
    </row>
    <row r="254" spans="2:12" ht="12.75">
      <c r="B254" s="6" t="s">
        <v>94</v>
      </c>
      <c r="C254" s="10" t="s">
        <v>91</v>
      </c>
      <c r="D254" s="10" t="s">
        <v>9</v>
      </c>
      <c r="E254" s="10" t="s">
        <v>8</v>
      </c>
      <c r="F254" s="10" t="s">
        <v>11</v>
      </c>
      <c r="G254" s="21">
        <f aca="true" t="shared" si="6" ref="G254:J255">G255</f>
        <v>500000</v>
      </c>
      <c r="H254" s="21">
        <f t="shared" si="6"/>
        <v>600000</v>
      </c>
      <c r="I254" s="21">
        <f t="shared" si="6"/>
        <v>800000</v>
      </c>
      <c r="J254" s="21">
        <f t="shared" si="6"/>
        <v>369915.81</v>
      </c>
      <c r="K254" s="41"/>
      <c r="L254" s="31"/>
    </row>
    <row r="255" spans="2:12" ht="45">
      <c r="B255" s="4" t="s">
        <v>95</v>
      </c>
      <c r="C255" s="11" t="s">
        <v>91</v>
      </c>
      <c r="D255" s="11" t="s">
        <v>9</v>
      </c>
      <c r="E255" s="11" t="s">
        <v>93</v>
      </c>
      <c r="F255" s="11" t="s">
        <v>11</v>
      </c>
      <c r="G255" s="17">
        <f t="shared" si="6"/>
        <v>500000</v>
      </c>
      <c r="H255" s="17">
        <f t="shared" si="6"/>
        <v>600000</v>
      </c>
      <c r="I255" s="17">
        <f t="shared" si="6"/>
        <v>800000</v>
      </c>
      <c r="J255" s="17">
        <f t="shared" si="6"/>
        <v>369915.81</v>
      </c>
      <c r="K255" s="41"/>
      <c r="L255" s="31"/>
    </row>
    <row r="256" spans="2:12" ht="12.75">
      <c r="B256" s="4" t="s">
        <v>48</v>
      </c>
      <c r="C256" s="11" t="s">
        <v>91</v>
      </c>
      <c r="D256" s="11" t="s">
        <v>9</v>
      </c>
      <c r="E256" s="11" t="s">
        <v>96</v>
      </c>
      <c r="F256" s="11" t="s">
        <v>49</v>
      </c>
      <c r="G256" s="17">
        <v>500000</v>
      </c>
      <c r="H256" s="17">
        <v>600000</v>
      </c>
      <c r="I256" s="17">
        <v>800000</v>
      </c>
      <c r="J256" s="17">
        <v>369915.81</v>
      </c>
      <c r="K256" s="41"/>
      <c r="L256" s="31"/>
    </row>
    <row r="257" spans="2:12" ht="18" customHeight="1">
      <c r="B257" s="6" t="s">
        <v>97</v>
      </c>
      <c r="C257" s="10" t="s">
        <v>91</v>
      </c>
      <c r="D257" s="10" t="s">
        <v>13</v>
      </c>
      <c r="E257" s="10" t="s">
        <v>8</v>
      </c>
      <c r="F257" s="10" t="s">
        <v>11</v>
      </c>
      <c r="G257" s="21">
        <f aca="true" t="shared" si="7" ref="G257:J258">G258</f>
        <v>13504501.63</v>
      </c>
      <c r="H257" s="21">
        <f t="shared" si="7"/>
        <v>13687800</v>
      </c>
      <c r="I257" s="21">
        <f t="shared" si="7"/>
        <v>14110900</v>
      </c>
      <c r="J257" s="21">
        <f t="shared" si="7"/>
        <v>2189274.67</v>
      </c>
      <c r="K257" s="41"/>
      <c r="L257" s="31"/>
    </row>
    <row r="258" spans="2:12" ht="22.5">
      <c r="B258" s="4" t="s">
        <v>64</v>
      </c>
      <c r="C258" s="11" t="s">
        <v>91</v>
      </c>
      <c r="D258" s="11" t="s">
        <v>13</v>
      </c>
      <c r="E258" s="11" t="s">
        <v>98</v>
      </c>
      <c r="F258" s="11" t="s">
        <v>11</v>
      </c>
      <c r="G258" s="17">
        <f t="shared" si="7"/>
        <v>13504501.63</v>
      </c>
      <c r="H258" s="17">
        <f t="shared" si="7"/>
        <v>13687800</v>
      </c>
      <c r="I258" s="17">
        <f t="shared" si="7"/>
        <v>14110900</v>
      </c>
      <c r="J258" s="17">
        <f t="shared" si="7"/>
        <v>2189274.67</v>
      </c>
      <c r="K258" s="41"/>
      <c r="L258" s="31"/>
    </row>
    <row r="259" spans="2:12" ht="22.5">
      <c r="B259" s="4" t="s">
        <v>38</v>
      </c>
      <c r="C259" s="11" t="s">
        <v>91</v>
      </c>
      <c r="D259" s="11" t="s">
        <v>13</v>
      </c>
      <c r="E259" s="11" t="s">
        <v>98</v>
      </c>
      <c r="F259" s="11" t="s">
        <v>39</v>
      </c>
      <c r="G259" s="17">
        <v>13504501.63</v>
      </c>
      <c r="H259" s="17">
        <v>13687800</v>
      </c>
      <c r="I259" s="17">
        <v>14110900</v>
      </c>
      <c r="J259" s="17">
        <v>2189274.67</v>
      </c>
      <c r="K259" s="41"/>
      <c r="L259" s="31"/>
    </row>
    <row r="260" spans="2:12" ht="12.75">
      <c r="B260" s="6" t="s">
        <v>99</v>
      </c>
      <c r="C260" s="10" t="s">
        <v>91</v>
      </c>
      <c r="D260" s="10" t="s">
        <v>19</v>
      </c>
      <c r="E260" s="10" t="s">
        <v>8</v>
      </c>
      <c r="F260" s="10" t="s">
        <v>11</v>
      </c>
      <c r="G260" s="21">
        <f>G261+G263+G265+G267+G269+G271+G273+G275+G277+G279+G281+G283+G285+G287+G290+G292+G294</f>
        <v>140133436.12</v>
      </c>
      <c r="H260" s="21">
        <f>H261+H263+H265+H267+H269+H271+H273+H275+H277+H279+H281+H283+H285+H287+H290+H292+H294</f>
        <v>131494800</v>
      </c>
      <c r="I260" s="21">
        <f>I261+I263+I265+I267+I269+I271+I273+I275+I277+I279+I281+I283+I285+I287+I290+I292+I294</f>
        <v>149248600</v>
      </c>
      <c r="J260" s="21">
        <f>J261+J263+J265+J267+J269+J271+J273+J275+J277+J279+J281+J283+J285+J287+J290+J292+J294</f>
        <v>37692345.08</v>
      </c>
      <c r="K260" s="38"/>
      <c r="L260" s="39"/>
    </row>
    <row r="261" spans="2:12" ht="34.5" customHeight="1">
      <c r="B261" s="4" t="s">
        <v>238</v>
      </c>
      <c r="C261" s="13" t="s">
        <v>91</v>
      </c>
      <c r="D261" s="13" t="s">
        <v>19</v>
      </c>
      <c r="E261" s="13" t="s">
        <v>207</v>
      </c>
      <c r="F261" s="13" t="s">
        <v>11</v>
      </c>
      <c r="G261" s="27">
        <f>G262</f>
        <v>2061100</v>
      </c>
      <c r="H261" s="27">
        <f>H262</f>
        <v>0</v>
      </c>
      <c r="I261" s="27">
        <f>I262</f>
        <v>0</v>
      </c>
      <c r="J261" s="27">
        <f>J262</f>
        <v>2061100</v>
      </c>
      <c r="K261" s="40"/>
      <c r="L261" s="34"/>
    </row>
    <row r="262" spans="2:12" ht="45" customHeight="1">
      <c r="B262" s="4" t="s">
        <v>239</v>
      </c>
      <c r="C262" s="13" t="s">
        <v>91</v>
      </c>
      <c r="D262" s="13" t="s">
        <v>19</v>
      </c>
      <c r="E262" s="13" t="s">
        <v>207</v>
      </c>
      <c r="F262" s="13" t="s">
        <v>208</v>
      </c>
      <c r="G262" s="27">
        <v>2061100</v>
      </c>
      <c r="H262" s="27">
        <v>0</v>
      </c>
      <c r="I262" s="27">
        <v>0</v>
      </c>
      <c r="J262" s="27">
        <v>2061100</v>
      </c>
      <c r="K262" s="41"/>
      <c r="L262" s="31"/>
    </row>
    <row r="263" spans="2:12" ht="34.5" customHeight="1">
      <c r="B263" s="4" t="s">
        <v>173</v>
      </c>
      <c r="C263" s="11" t="s">
        <v>91</v>
      </c>
      <c r="D263" s="11" t="s">
        <v>19</v>
      </c>
      <c r="E263" s="11" t="s">
        <v>172</v>
      </c>
      <c r="F263" s="11" t="s">
        <v>11</v>
      </c>
      <c r="G263" s="18">
        <f>G264</f>
        <v>15899000</v>
      </c>
      <c r="H263" s="18">
        <f>H264</f>
        <v>19460300</v>
      </c>
      <c r="I263" s="18">
        <f>I264</f>
        <v>23897300</v>
      </c>
      <c r="J263" s="18">
        <f>J264</f>
        <v>3827421.5</v>
      </c>
      <c r="K263" s="41"/>
      <c r="L263" s="31"/>
    </row>
    <row r="264" spans="2:12" ht="15" customHeight="1">
      <c r="B264" s="4" t="s">
        <v>48</v>
      </c>
      <c r="C264" s="11" t="s">
        <v>91</v>
      </c>
      <c r="D264" s="11" t="s">
        <v>19</v>
      </c>
      <c r="E264" s="11" t="s">
        <v>172</v>
      </c>
      <c r="F264" s="11" t="s">
        <v>49</v>
      </c>
      <c r="G264" s="17">
        <v>15899000</v>
      </c>
      <c r="H264" s="17">
        <v>19460300</v>
      </c>
      <c r="I264" s="17">
        <v>23897300</v>
      </c>
      <c r="J264" s="17">
        <v>3827421.5</v>
      </c>
      <c r="K264" s="41"/>
      <c r="L264" s="31"/>
    </row>
    <row r="265" spans="2:12" ht="23.25" customHeight="1">
      <c r="B265" s="4" t="s">
        <v>175</v>
      </c>
      <c r="C265" s="11" t="s">
        <v>91</v>
      </c>
      <c r="D265" s="11" t="s">
        <v>19</v>
      </c>
      <c r="E265" s="11" t="s">
        <v>174</v>
      </c>
      <c r="F265" s="11" t="s">
        <v>11</v>
      </c>
      <c r="G265" s="17">
        <f>G266</f>
        <v>276976.44</v>
      </c>
      <c r="H265" s="17">
        <f>H266</f>
        <v>330400</v>
      </c>
      <c r="I265" s="17">
        <f>I266</f>
        <v>397500</v>
      </c>
      <c r="J265" s="17">
        <f>J266</f>
        <v>34638.71</v>
      </c>
      <c r="K265" s="40"/>
      <c r="L265" s="34"/>
    </row>
    <row r="266" spans="2:12" ht="14.25" customHeight="1">
      <c r="B266" s="4" t="s">
        <v>48</v>
      </c>
      <c r="C266" s="11" t="s">
        <v>91</v>
      </c>
      <c r="D266" s="11" t="s">
        <v>19</v>
      </c>
      <c r="E266" s="11" t="s">
        <v>174</v>
      </c>
      <c r="F266" s="11" t="s">
        <v>49</v>
      </c>
      <c r="G266" s="17">
        <v>276976.44</v>
      </c>
      <c r="H266" s="17">
        <v>330400</v>
      </c>
      <c r="I266" s="17">
        <v>397500</v>
      </c>
      <c r="J266" s="17">
        <v>34638.71</v>
      </c>
      <c r="K266" s="32"/>
      <c r="L266" s="33"/>
    </row>
    <row r="267" spans="2:12" ht="32.25" customHeight="1">
      <c r="B267" s="4" t="s">
        <v>177</v>
      </c>
      <c r="C267" s="11" t="s">
        <v>91</v>
      </c>
      <c r="D267" s="11" t="s">
        <v>19</v>
      </c>
      <c r="E267" s="11" t="s">
        <v>176</v>
      </c>
      <c r="F267" s="11" t="s">
        <v>11</v>
      </c>
      <c r="G267" s="17">
        <f>G268</f>
        <v>2936100</v>
      </c>
      <c r="H267" s="17">
        <f>H268</f>
        <v>2936100</v>
      </c>
      <c r="I267" s="17">
        <f>I268</f>
        <v>2936100</v>
      </c>
      <c r="J267" s="17">
        <f>J268</f>
        <v>460150.5</v>
      </c>
      <c r="K267" s="32"/>
      <c r="L267" s="33"/>
    </row>
    <row r="268" spans="2:12" ht="15.75" customHeight="1">
      <c r="B268" s="4" t="s">
        <v>48</v>
      </c>
      <c r="C268" s="11" t="s">
        <v>91</v>
      </c>
      <c r="D268" s="11" t="s">
        <v>19</v>
      </c>
      <c r="E268" s="11" t="s">
        <v>176</v>
      </c>
      <c r="F268" s="11" t="s">
        <v>49</v>
      </c>
      <c r="G268" s="17">
        <v>2936100</v>
      </c>
      <c r="H268" s="17">
        <v>2936100</v>
      </c>
      <c r="I268" s="17">
        <v>2936100</v>
      </c>
      <c r="J268" s="17">
        <v>460150.5</v>
      </c>
      <c r="K268" s="32"/>
      <c r="L268" s="33"/>
    </row>
    <row r="269" spans="2:12" ht="54.75" customHeight="1">
      <c r="B269" s="4" t="s">
        <v>280</v>
      </c>
      <c r="C269" s="11" t="s">
        <v>91</v>
      </c>
      <c r="D269" s="11" t="s">
        <v>19</v>
      </c>
      <c r="E269" s="11" t="s">
        <v>279</v>
      </c>
      <c r="F269" s="11" t="s">
        <v>11</v>
      </c>
      <c r="G269" s="17">
        <f>G270</f>
        <v>13492806.69</v>
      </c>
      <c r="H269" s="17">
        <f>H270</f>
        <v>15323200</v>
      </c>
      <c r="I269" s="17">
        <f>I270</f>
        <v>17599900</v>
      </c>
      <c r="J269" s="17">
        <f>J270</f>
        <v>839442.03</v>
      </c>
      <c r="K269" s="32"/>
      <c r="L269" s="33"/>
    </row>
    <row r="270" spans="2:12" ht="15.75" customHeight="1">
      <c r="B270" s="4" t="s">
        <v>48</v>
      </c>
      <c r="C270" s="11" t="s">
        <v>91</v>
      </c>
      <c r="D270" s="11" t="s">
        <v>19</v>
      </c>
      <c r="E270" s="11" t="s">
        <v>279</v>
      </c>
      <c r="F270" s="11" t="s">
        <v>49</v>
      </c>
      <c r="G270" s="17">
        <v>13492806.69</v>
      </c>
      <c r="H270" s="17">
        <v>15323200</v>
      </c>
      <c r="I270" s="17">
        <v>17599900</v>
      </c>
      <c r="J270" s="17">
        <v>839442.03</v>
      </c>
      <c r="K270" s="32"/>
      <c r="L270" s="33"/>
    </row>
    <row r="271" spans="2:12" ht="66.75" customHeight="1">
      <c r="B271" s="4" t="s">
        <v>180</v>
      </c>
      <c r="C271" s="11" t="s">
        <v>91</v>
      </c>
      <c r="D271" s="11" t="s">
        <v>19</v>
      </c>
      <c r="E271" s="11" t="s">
        <v>178</v>
      </c>
      <c r="F271" s="11" t="s">
        <v>11</v>
      </c>
      <c r="G271" s="17">
        <f>G272</f>
        <v>172000</v>
      </c>
      <c r="H271" s="17">
        <f>H272</f>
        <v>172000</v>
      </c>
      <c r="I271" s="17">
        <f>I272</f>
        <v>172000</v>
      </c>
      <c r="J271" s="17">
        <f>J272</f>
        <v>31600.29</v>
      </c>
      <c r="K271" s="41"/>
      <c r="L271" s="33"/>
    </row>
    <row r="272" spans="2:12" ht="12.75">
      <c r="B272" s="4" t="s">
        <v>48</v>
      </c>
      <c r="C272" s="11" t="s">
        <v>91</v>
      </c>
      <c r="D272" s="11" t="s">
        <v>19</v>
      </c>
      <c r="E272" s="11" t="s">
        <v>179</v>
      </c>
      <c r="F272" s="11" t="s">
        <v>49</v>
      </c>
      <c r="G272" s="17">
        <v>172000</v>
      </c>
      <c r="H272" s="17">
        <v>172000</v>
      </c>
      <c r="I272" s="17">
        <v>172000</v>
      </c>
      <c r="J272" s="17">
        <v>31600.29</v>
      </c>
      <c r="K272" s="41"/>
      <c r="L272" s="31"/>
    </row>
    <row r="273" spans="2:12" ht="33" customHeight="1">
      <c r="B273" s="4" t="s">
        <v>181</v>
      </c>
      <c r="C273" s="11" t="s">
        <v>91</v>
      </c>
      <c r="D273" s="11" t="s">
        <v>19</v>
      </c>
      <c r="E273" s="11" t="s">
        <v>100</v>
      </c>
      <c r="F273" s="11" t="s">
        <v>11</v>
      </c>
      <c r="G273" s="17">
        <f>G274</f>
        <v>1597200</v>
      </c>
      <c r="H273" s="17">
        <f>H274</f>
        <v>1693000</v>
      </c>
      <c r="I273" s="17">
        <f>I274</f>
        <v>1807400</v>
      </c>
      <c r="J273" s="17">
        <f>J274</f>
        <v>280092</v>
      </c>
      <c r="K273" s="41"/>
      <c r="L273" s="31"/>
    </row>
    <row r="274" spans="2:12" ht="12.75">
      <c r="B274" s="4" t="s">
        <v>48</v>
      </c>
      <c r="C274" s="11" t="s">
        <v>91</v>
      </c>
      <c r="D274" s="11" t="s">
        <v>19</v>
      </c>
      <c r="E274" s="11" t="s">
        <v>100</v>
      </c>
      <c r="F274" s="11" t="s">
        <v>101</v>
      </c>
      <c r="G274" s="17">
        <v>1597200</v>
      </c>
      <c r="H274" s="17">
        <v>1693000</v>
      </c>
      <c r="I274" s="17">
        <v>1807400</v>
      </c>
      <c r="J274" s="17">
        <v>280092</v>
      </c>
      <c r="K274" s="41"/>
      <c r="L274" s="31"/>
    </row>
    <row r="275" spans="2:12" ht="12.75">
      <c r="B275" s="4" t="s">
        <v>102</v>
      </c>
      <c r="C275" s="11" t="s">
        <v>91</v>
      </c>
      <c r="D275" s="11" t="s">
        <v>19</v>
      </c>
      <c r="E275" s="11" t="s">
        <v>103</v>
      </c>
      <c r="F275" s="11" t="s">
        <v>11</v>
      </c>
      <c r="G275" s="17">
        <f>G276</f>
        <v>19482700</v>
      </c>
      <c r="H275" s="17">
        <f>H276</f>
        <v>19481500</v>
      </c>
      <c r="I275" s="17">
        <f>I276</f>
        <v>19481500</v>
      </c>
      <c r="J275" s="17">
        <f>J276</f>
        <v>4370255</v>
      </c>
      <c r="K275" s="41"/>
      <c r="L275" s="31"/>
    </row>
    <row r="276" spans="2:12" ht="12.75">
      <c r="B276" s="4" t="s">
        <v>48</v>
      </c>
      <c r="C276" s="11" t="s">
        <v>91</v>
      </c>
      <c r="D276" s="11" t="s">
        <v>19</v>
      </c>
      <c r="E276" s="11" t="s">
        <v>103</v>
      </c>
      <c r="F276" s="11" t="s">
        <v>101</v>
      </c>
      <c r="G276" s="17">
        <v>19482700</v>
      </c>
      <c r="H276" s="17">
        <v>19481500</v>
      </c>
      <c r="I276" s="17">
        <v>19481500</v>
      </c>
      <c r="J276" s="17">
        <v>4370255</v>
      </c>
      <c r="K276" s="41"/>
      <c r="L276" s="31"/>
    </row>
    <row r="277" spans="2:12" ht="33.75">
      <c r="B277" s="4" t="s">
        <v>104</v>
      </c>
      <c r="C277" s="11" t="s">
        <v>91</v>
      </c>
      <c r="D277" s="11" t="s">
        <v>19</v>
      </c>
      <c r="E277" s="11" t="s">
        <v>105</v>
      </c>
      <c r="F277" s="11" t="s">
        <v>11</v>
      </c>
      <c r="G277" s="17">
        <f>G278</f>
        <v>28562641.47</v>
      </c>
      <c r="H277" s="17">
        <f>H278</f>
        <v>32177400</v>
      </c>
      <c r="I277" s="17">
        <f>I278</f>
        <v>36650700</v>
      </c>
      <c r="J277" s="17">
        <f>J278</f>
        <v>2792098.63</v>
      </c>
      <c r="K277" s="41"/>
      <c r="L277" s="31"/>
    </row>
    <row r="278" spans="2:12" ht="12.75">
      <c r="B278" s="4" t="s">
        <v>48</v>
      </c>
      <c r="C278" s="11" t="s">
        <v>91</v>
      </c>
      <c r="D278" s="11" t="s">
        <v>19</v>
      </c>
      <c r="E278" s="11" t="s">
        <v>182</v>
      </c>
      <c r="F278" s="11" t="s">
        <v>49</v>
      </c>
      <c r="G278" s="17">
        <v>28562641.47</v>
      </c>
      <c r="H278" s="17">
        <v>32177400</v>
      </c>
      <c r="I278" s="17">
        <v>36650700</v>
      </c>
      <c r="J278" s="17">
        <v>2792098.63</v>
      </c>
      <c r="K278" s="41"/>
      <c r="L278" s="31"/>
    </row>
    <row r="279" spans="2:12" ht="36" customHeight="1">
      <c r="B279" s="4" t="s">
        <v>281</v>
      </c>
      <c r="C279" s="11" t="s">
        <v>91</v>
      </c>
      <c r="D279" s="11" t="s">
        <v>19</v>
      </c>
      <c r="E279" s="11" t="s">
        <v>282</v>
      </c>
      <c r="F279" s="11" t="s">
        <v>11</v>
      </c>
      <c r="G279" s="17">
        <f>G280</f>
        <v>6559200</v>
      </c>
      <c r="H279" s="17">
        <f>H280</f>
        <v>3279600</v>
      </c>
      <c r="I279" s="17">
        <f>I280</f>
        <v>4099500</v>
      </c>
      <c r="J279" s="17">
        <f>J280</f>
        <v>0</v>
      </c>
      <c r="K279" s="41"/>
      <c r="L279" s="31"/>
    </row>
    <row r="280" spans="2:12" ht="12.75">
      <c r="B280" s="4" t="s">
        <v>48</v>
      </c>
      <c r="C280" s="11" t="s">
        <v>91</v>
      </c>
      <c r="D280" s="11" t="s">
        <v>19</v>
      </c>
      <c r="E280" s="11" t="s">
        <v>282</v>
      </c>
      <c r="F280" s="11" t="s">
        <v>49</v>
      </c>
      <c r="G280" s="17">
        <v>6559200</v>
      </c>
      <c r="H280" s="17">
        <v>3279600</v>
      </c>
      <c r="I280" s="17">
        <v>4099500</v>
      </c>
      <c r="J280" s="17"/>
      <c r="K280" s="41"/>
      <c r="L280" s="31"/>
    </row>
    <row r="281" spans="2:12" ht="21" customHeight="1">
      <c r="B281" s="4" t="s">
        <v>106</v>
      </c>
      <c r="C281" s="11" t="s">
        <v>91</v>
      </c>
      <c r="D281" s="11" t="s">
        <v>19</v>
      </c>
      <c r="E281" s="11" t="s">
        <v>107</v>
      </c>
      <c r="F281" s="11" t="s">
        <v>11</v>
      </c>
      <c r="G281" s="17">
        <f>G282</f>
        <v>19992000</v>
      </c>
      <c r="H281" s="17">
        <f>H282</f>
        <v>24704600</v>
      </c>
      <c r="I281" s="17">
        <f>I282</f>
        <v>27590600</v>
      </c>
      <c r="J281" s="17">
        <f>J282</f>
        <v>3477341.51</v>
      </c>
      <c r="K281" s="41"/>
      <c r="L281" s="31"/>
    </row>
    <row r="282" spans="2:12" ht="12.75">
      <c r="B282" s="4" t="s">
        <v>48</v>
      </c>
      <c r="C282" s="11" t="s">
        <v>91</v>
      </c>
      <c r="D282" s="11" t="s">
        <v>19</v>
      </c>
      <c r="E282" s="11" t="s">
        <v>107</v>
      </c>
      <c r="F282" s="11" t="s">
        <v>49</v>
      </c>
      <c r="G282" s="17">
        <v>19992000</v>
      </c>
      <c r="H282" s="17">
        <v>24704600</v>
      </c>
      <c r="I282" s="17">
        <v>27590600</v>
      </c>
      <c r="J282" s="17">
        <v>3477341.51</v>
      </c>
      <c r="K282" s="41"/>
      <c r="L282" s="31"/>
    </row>
    <row r="283" spans="2:12" ht="46.5" customHeight="1">
      <c r="B283" s="4" t="s">
        <v>108</v>
      </c>
      <c r="C283" s="11" t="s">
        <v>91</v>
      </c>
      <c r="D283" s="11" t="s">
        <v>19</v>
      </c>
      <c r="E283" s="11" t="s">
        <v>109</v>
      </c>
      <c r="F283" s="11" t="s">
        <v>11</v>
      </c>
      <c r="G283" s="17">
        <f>G284</f>
        <v>2427006.56</v>
      </c>
      <c r="H283" s="17">
        <f>H284</f>
        <v>0</v>
      </c>
      <c r="I283" s="17">
        <f>I284</f>
        <v>0</v>
      </c>
      <c r="J283" s="17">
        <f>J284</f>
        <v>268198.48</v>
      </c>
      <c r="K283" s="41"/>
      <c r="L283" s="31"/>
    </row>
    <row r="284" spans="2:12" ht="12.75">
      <c r="B284" s="4" t="s">
        <v>48</v>
      </c>
      <c r="C284" s="11" t="s">
        <v>91</v>
      </c>
      <c r="D284" s="11" t="s">
        <v>19</v>
      </c>
      <c r="E284" s="11" t="s">
        <v>109</v>
      </c>
      <c r="F284" s="11" t="s">
        <v>49</v>
      </c>
      <c r="G284" s="19">
        <v>2427006.56</v>
      </c>
      <c r="H284" s="19">
        <v>0</v>
      </c>
      <c r="I284" s="19">
        <v>0</v>
      </c>
      <c r="J284" s="19">
        <v>268198.48</v>
      </c>
      <c r="K284" s="41"/>
      <c r="L284" s="31"/>
    </row>
    <row r="285" spans="2:12" ht="33.75">
      <c r="B285" s="4" t="s">
        <v>140</v>
      </c>
      <c r="C285" s="11" t="s">
        <v>91</v>
      </c>
      <c r="D285" s="11" t="s">
        <v>19</v>
      </c>
      <c r="E285" s="11" t="s">
        <v>252</v>
      </c>
      <c r="F285" s="11" t="s">
        <v>11</v>
      </c>
      <c r="G285" s="19">
        <f>G286</f>
        <v>9371707.96</v>
      </c>
      <c r="H285" s="19">
        <f>H286</f>
        <v>10296700</v>
      </c>
      <c r="I285" s="19">
        <f>I286</f>
        <v>12516100</v>
      </c>
      <c r="J285" s="19">
        <f>J286</f>
        <v>3022251.43</v>
      </c>
      <c r="K285" s="41"/>
      <c r="L285" s="31"/>
    </row>
    <row r="286" spans="2:12" ht="12.75">
      <c r="B286" s="4" t="s">
        <v>48</v>
      </c>
      <c r="C286" s="11" t="s">
        <v>91</v>
      </c>
      <c r="D286" s="11" t="s">
        <v>19</v>
      </c>
      <c r="E286" s="11" t="s">
        <v>252</v>
      </c>
      <c r="F286" s="11" t="s">
        <v>49</v>
      </c>
      <c r="G286" s="19">
        <v>9371707.96</v>
      </c>
      <c r="H286" s="19">
        <v>10296700</v>
      </c>
      <c r="I286" s="19">
        <v>12516100</v>
      </c>
      <c r="J286" s="19">
        <v>3022251.43</v>
      </c>
      <c r="K286" s="41"/>
      <c r="L286" s="31"/>
    </row>
    <row r="287" spans="2:12" ht="30.75" customHeight="1">
      <c r="B287" s="28" t="s">
        <v>240</v>
      </c>
      <c r="C287" s="11" t="s">
        <v>91</v>
      </c>
      <c r="D287" s="11" t="s">
        <v>19</v>
      </c>
      <c r="E287" s="11" t="s">
        <v>110</v>
      </c>
      <c r="F287" s="11" t="s">
        <v>11</v>
      </c>
      <c r="G287" s="19">
        <f>G288+G289</f>
        <v>1132800</v>
      </c>
      <c r="H287" s="19">
        <f>H288+H289</f>
        <v>1640000</v>
      </c>
      <c r="I287" s="19">
        <f>I288+I289</f>
        <v>2100000</v>
      </c>
      <c r="J287" s="19">
        <f>J288+J289</f>
        <v>145200</v>
      </c>
      <c r="K287" s="41"/>
      <c r="L287" s="31"/>
    </row>
    <row r="288" spans="2:12" ht="22.5">
      <c r="B288" s="4" t="s">
        <v>38</v>
      </c>
      <c r="C288" s="11" t="s">
        <v>91</v>
      </c>
      <c r="D288" s="11" t="s">
        <v>19</v>
      </c>
      <c r="E288" s="11" t="s">
        <v>110</v>
      </c>
      <c r="F288" s="11" t="s">
        <v>49</v>
      </c>
      <c r="G288" s="19">
        <v>450000</v>
      </c>
      <c r="H288" s="19">
        <v>500000</v>
      </c>
      <c r="I288" s="19">
        <v>700000</v>
      </c>
      <c r="J288" s="19">
        <v>0</v>
      </c>
      <c r="K288" s="41"/>
      <c r="L288" s="31"/>
    </row>
    <row r="289" spans="2:12" s="14" customFormat="1" ht="12.75">
      <c r="B289" s="28" t="s">
        <v>330</v>
      </c>
      <c r="C289" s="51" t="s">
        <v>91</v>
      </c>
      <c r="D289" s="51" t="s">
        <v>19</v>
      </c>
      <c r="E289" s="51" t="s">
        <v>110</v>
      </c>
      <c r="F289" s="51" t="s">
        <v>283</v>
      </c>
      <c r="G289" s="19">
        <v>682800</v>
      </c>
      <c r="H289" s="19">
        <v>1140000</v>
      </c>
      <c r="I289" s="19">
        <v>1400000</v>
      </c>
      <c r="J289" s="19">
        <f>75200+70000</f>
        <v>145200</v>
      </c>
      <c r="K289" s="41"/>
      <c r="L289" s="31"/>
    </row>
    <row r="290" spans="2:12" ht="59.25" customHeight="1">
      <c r="B290" s="4" t="s">
        <v>301</v>
      </c>
      <c r="C290" s="11" t="s">
        <v>91</v>
      </c>
      <c r="D290" s="11" t="s">
        <v>19</v>
      </c>
      <c r="E290" s="11" t="s">
        <v>300</v>
      </c>
      <c r="F290" s="11" t="s">
        <v>11</v>
      </c>
      <c r="G290" s="19">
        <f>G291</f>
        <v>12336504</v>
      </c>
      <c r="H290" s="19">
        <f>H291</f>
        <v>0</v>
      </c>
      <c r="I290" s="19">
        <f>I291</f>
        <v>0</v>
      </c>
      <c r="J290" s="19">
        <f>J291</f>
        <v>12336504</v>
      </c>
      <c r="K290" s="41"/>
      <c r="L290" s="31"/>
    </row>
    <row r="291" spans="2:12" ht="24.75" customHeight="1">
      <c r="B291" s="4" t="s">
        <v>240</v>
      </c>
      <c r="C291" s="11" t="s">
        <v>91</v>
      </c>
      <c r="D291" s="11" t="s">
        <v>19</v>
      </c>
      <c r="E291" s="11" t="s">
        <v>300</v>
      </c>
      <c r="F291" s="11" t="s">
        <v>209</v>
      </c>
      <c r="G291" s="19">
        <v>12336504</v>
      </c>
      <c r="H291" s="19"/>
      <c r="I291" s="19"/>
      <c r="J291" s="19">
        <v>12336504</v>
      </c>
      <c r="K291" s="41"/>
      <c r="L291" s="31"/>
    </row>
    <row r="292" spans="2:12" ht="30.75" customHeight="1">
      <c r="B292" s="54" t="s">
        <v>331</v>
      </c>
      <c r="C292" s="11" t="s">
        <v>91</v>
      </c>
      <c r="D292" s="11" t="s">
        <v>19</v>
      </c>
      <c r="E292" s="11" t="s">
        <v>315</v>
      </c>
      <c r="F292" s="11" t="s">
        <v>11</v>
      </c>
      <c r="G292" s="19">
        <f>G293</f>
        <v>2741400</v>
      </c>
      <c r="H292" s="19">
        <f>H293</f>
        <v>0</v>
      </c>
      <c r="I292" s="19">
        <f>I293</f>
        <v>0</v>
      </c>
      <c r="J292" s="19">
        <f>J293</f>
        <v>2741400</v>
      </c>
      <c r="K292" s="41"/>
      <c r="L292" s="31"/>
    </row>
    <row r="293" spans="2:12" ht="24" customHeight="1">
      <c r="B293" s="4" t="s">
        <v>240</v>
      </c>
      <c r="C293" s="11" t="s">
        <v>91</v>
      </c>
      <c r="D293" s="11" t="s">
        <v>19</v>
      </c>
      <c r="E293" s="11" t="s">
        <v>315</v>
      </c>
      <c r="F293" s="11" t="s">
        <v>209</v>
      </c>
      <c r="G293" s="19">
        <v>2741400</v>
      </c>
      <c r="H293" s="19">
        <v>0</v>
      </c>
      <c r="I293" s="19">
        <v>0</v>
      </c>
      <c r="J293" s="19">
        <v>2741400</v>
      </c>
      <c r="K293" s="41"/>
      <c r="L293" s="31"/>
    </row>
    <row r="294" spans="2:12" ht="22.5">
      <c r="B294" s="4" t="s">
        <v>58</v>
      </c>
      <c r="C294" s="11" t="s">
        <v>91</v>
      </c>
      <c r="D294" s="11" t="s">
        <v>19</v>
      </c>
      <c r="E294" s="11" t="s">
        <v>51</v>
      </c>
      <c r="F294" s="11" t="s">
        <v>11</v>
      </c>
      <c r="G294" s="19">
        <f>G295</f>
        <v>1092293</v>
      </c>
      <c r="H294" s="19">
        <f>H295</f>
        <v>0</v>
      </c>
      <c r="I294" s="19">
        <f>I295</f>
        <v>0</v>
      </c>
      <c r="J294" s="19">
        <f>J295</f>
        <v>1004651</v>
      </c>
      <c r="K294" s="41"/>
      <c r="L294" s="31"/>
    </row>
    <row r="295" spans="2:12" ht="22.5">
      <c r="B295" s="4" t="s">
        <v>240</v>
      </c>
      <c r="C295" s="11" t="s">
        <v>91</v>
      </c>
      <c r="D295" s="11" t="s">
        <v>19</v>
      </c>
      <c r="E295" s="11" t="s">
        <v>152</v>
      </c>
      <c r="F295" s="11" t="s">
        <v>209</v>
      </c>
      <c r="G295" s="19">
        <v>1092293</v>
      </c>
      <c r="H295" s="19">
        <v>0</v>
      </c>
      <c r="I295" s="19">
        <v>0</v>
      </c>
      <c r="J295" s="19">
        <v>1004651</v>
      </c>
      <c r="K295" s="41"/>
      <c r="L295" s="31"/>
    </row>
    <row r="296" spans="2:12" ht="12.75">
      <c r="B296" s="6" t="s">
        <v>112</v>
      </c>
      <c r="C296" s="10" t="s">
        <v>91</v>
      </c>
      <c r="D296" s="10" t="s">
        <v>25</v>
      </c>
      <c r="E296" s="10" t="s">
        <v>8</v>
      </c>
      <c r="F296" s="10" t="s">
        <v>11</v>
      </c>
      <c r="G296" s="21">
        <f>G297+G299</f>
        <v>21782604.15</v>
      </c>
      <c r="H296" s="21">
        <f>H297+H299</f>
        <v>19189100</v>
      </c>
      <c r="I296" s="21">
        <f>I297+I299</f>
        <v>22544700</v>
      </c>
      <c r="J296" s="21">
        <f>J297+J299</f>
        <v>3290081.6</v>
      </c>
      <c r="K296" s="41"/>
      <c r="L296" s="31"/>
    </row>
    <row r="297" spans="2:12" ht="78.75" customHeight="1">
      <c r="B297" s="4" t="s">
        <v>242</v>
      </c>
      <c r="C297" s="11" t="s">
        <v>91</v>
      </c>
      <c r="D297" s="11" t="s">
        <v>25</v>
      </c>
      <c r="E297" s="11" t="s">
        <v>241</v>
      </c>
      <c r="F297" s="11" t="s">
        <v>11</v>
      </c>
      <c r="G297" s="17">
        <f>G298</f>
        <v>5133308.51</v>
      </c>
      <c r="H297" s="17">
        <f>H298</f>
        <v>0</v>
      </c>
      <c r="I297" s="17">
        <f>I298</f>
        <v>0</v>
      </c>
      <c r="J297" s="17">
        <f>J298</f>
        <v>0</v>
      </c>
      <c r="K297" s="41"/>
      <c r="L297" s="31"/>
    </row>
    <row r="298" spans="2:12" ht="15" customHeight="1">
      <c r="B298" s="4" t="s">
        <v>48</v>
      </c>
      <c r="C298" s="11" t="s">
        <v>91</v>
      </c>
      <c r="D298" s="11" t="s">
        <v>25</v>
      </c>
      <c r="E298" s="11" t="s">
        <v>241</v>
      </c>
      <c r="F298" s="11" t="s">
        <v>49</v>
      </c>
      <c r="G298" s="17">
        <v>5133308.51</v>
      </c>
      <c r="H298" s="17">
        <v>0</v>
      </c>
      <c r="I298" s="17">
        <v>0</v>
      </c>
      <c r="J298" s="17"/>
      <c r="K298" s="41"/>
      <c r="L298" s="31"/>
    </row>
    <row r="299" spans="2:12" ht="36.75" customHeight="1">
      <c r="B299" s="4" t="s">
        <v>184</v>
      </c>
      <c r="C299" s="11" t="s">
        <v>91</v>
      </c>
      <c r="D299" s="11" t="s">
        <v>25</v>
      </c>
      <c r="E299" s="11" t="s">
        <v>183</v>
      </c>
      <c r="F299" s="11" t="s">
        <v>11</v>
      </c>
      <c r="G299" s="17">
        <f>G300</f>
        <v>16649295.64</v>
      </c>
      <c r="H299" s="17">
        <f>H300</f>
        <v>19189100</v>
      </c>
      <c r="I299" s="17">
        <f>I300</f>
        <v>22544700</v>
      </c>
      <c r="J299" s="17">
        <f>J300</f>
        <v>3290081.6</v>
      </c>
      <c r="K299" s="41"/>
      <c r="L299" s="31"/>
    </row>
    <row r="300" spans="2:12" ht="46.5" customHeight="1">
      <c r="B300" s="4" t="s">
        <v>186</v>
      </c>
      <c r="C300" s="11" t="s">
        <v>91</v>
      </c>
      <c r="D300" s="11" t="s">
        <v>25</v>
      </c>
      <c r="E300" s="11" t="s">
        <v>183</v>
      </c>
      <c r="F300" s="11" t="s">
        <v>185</v>
      </c>
      <c r="G300" s="17">
        <v>16649295.64</v>
      </c>
      <c r="H300" s="17">
        <v>19189100</v>
      </c>
      <c r="I300" s="17">
        <v>22544700</v>
      </c>
      <c r="J300" s="17">
        <v>3290081.6</v>
      </c>
      <c r="K300" s="41"/>
      <c r="L300" s="31"/>
    </row>
    <row r="301" spans="2:12" ht="22.5">
      <c r="B301" s="6" t="s">
        <v>111</v>
      </c>
      <c r="C301" s="10" t="s">
        <v>91</v>
      </c>
      <c r="D301" s="10" t="s">
        <v>31</v>
      </c>
      <c r="E301" s="10" t="s">
        <v>8</v>
      </c>
      <c r="F301" s="10" t="s">
        <v>11</v>
      </c>
      <c r="G301" s="21">
        <f>G302+G304+G306</f>
        <v>12648277.549999999</v>
      </c>
      <c r="H301" s="21">
        <f>H302+H304+H306</f>
        <v>12180800</v>
      </c>
      <c r="I301" s="21">
        <f>I302+I304+I306</f>
        <v>12397700</v>
      </c>
      <c r="J301" s="21">
        <f>J302+J304+J306</f>
        <v>2012754.8299999996</v>
      </c>
      <c r="K301" s="41"/>
      <c r="L301" s="31"/>
    </row>
    <row r="302" spans="2:12" ht="12.75">
      <c r="B302" s="4" t="s">
        <v>20</v>
      </c>
      <c r="C302" s="11" t="s">
        <v>91</v>
      </c>
      <c r="D302" s="11" t="s">
        <v>31</v>
      </c>
      <c r="E302" s="11" t="s">
        <v>21</v>
      </c>
      <c r="F302" s="11" t="s">
        <v>11</v>
      </c>
      <c r="G302" s="17">
        <f>G303</f>
        <v>7910585.75</v>
      </c>
      <c r="H302" s="17">
        <f>H303</f>
        <v>7602300</v>
      </c>
      <c r="I302" s="17">
        <f>I303</f>
        <v>7744600</v>
      </c>
      <c r="J302" s="17">
        <f>J303</f>
        <v>1389241.4499999997</v>
      </c>
      <c r="K302" s="40"/>
      <c r="L302" s="34"/>
    </row>
    <row r="303" spans="2:12" ht="22.5">
      <c r="B303" s="4" t="s">
        <v>18</v>
      </c>
      <c r="C303" s="11" t="s">
        <v>91</v>
      </c>
      <c r="D303" s="11" t="s">
        <v>31</v>
      </c>
      <c r="E303" s="11" t="s">
        <v>125</v>
      </c>
      <c r="F303" s="11" t="s">
        <v>154</v>
      </c>
      <c r="G303" s="17">
        <v>7910585.75</v>
      </c>
      <c r="H303" s="17">
        <v>7602300</v>
      </c>
      <c r="I303" s="17">
        <v>7744600</v>
      </c>
      <c r="J303" s="17">
        <f>847715.19+202475.16+20841.59+49979.43+14830.42+67822.16-1400+104705+82272.5</f>
        <v>1389241.4499999997</v>
      </c>
      <c r="K303" s="41"/>
      <c r="L303" s="31"/>
    </row>
    <row r="304" spans="2:12" ht="24" customHeight="1">
      <c r="B304" s="4" t="s">
        <v>188</v>
      </c>
      <c r="C304" s="11" t="s">
        <v>91</v>
      </c>
      <c r="D304" s="11" t="s">
        <v>31</v>
      </c>
      <c r="E304" s="11" t="s">
        <v>187</v>
      </c>
      <c r="F304" s="11" t="s">
        <v>11</v>
      </c>
      <c r="G304" s="17">
        <f>G305</f>
        <v>3162903.53</v>
      </c>
      <c r="H304" s="17">
        <f>H305</f>
        <v>3131200</v>
      </c>
      <c r="I304" s="17">
        <f>I305</f>
        <v>3185600</v>
      </c>
      <c r="J304" s="17">
        <f>J305</f>
        <v>351429.67999999993</v>
      </c>
      <c r="K304" s="41"/>
      <c r="L304" s="31"/>
    </row>
    <row r="305" spans="2:12" ht="22.5">
      <c r="B305" s="4" t="s">
        <v>18</v>
      </c>
      <c r="C305" s="11" t="s">
        <v>91</v>
      </c>
      <c r="D305" s="11" t="s">
        <v>31</v>
      </c>
      <c r="E305" s="11" t="s">
        <v>187</v>
      </c>
      <c r="F305" s="11" t="s">
        <v>154</v>
      </c>
      <c r="G305" s="17">
        <v>3162903.53</v>
      </c>
      <c r="H305" s="17">
        <v>3131200</v>
      </c>
      <c r="I305" s="17">
        <v>3185600</v>
      </c>
      <c r="J305" s="17">
        <f>225183.96+53455+14631.19+13946.05+1984.42+14090.28+11076.29+17062.49</f>
        <v>351429.67999999993</v>
      </c>
      <c r="K305" s="41"/>
      <c r="L305" s="31"/>
    </row>
    <row r="306" spans="2:12" ht="23.25" customHeight="1">
      <c r="B306" s="4" t="s">
        <v>189</v>
      </c>
      <c r="C306" s="11" t="s">
        <v>91</v>
      </c>
      <c r="D306" s="11" t="s">
        <v>31</v>
      </c>
      <c r="E306" s="11" t="s">
        <v>190</v>
      </c>
      <c r="F306" s="11" t="s">
        <v>11</v>
      </c>
      <c r="G306" s="17">
        <f>G307</f>
        <v>1574788.27</v>
      </c>
      <c r="H306" s="17">
        <f>H307</f>
        <v>1447300</v>
      </c>
      <c r="I306" s="17">
        <f>I307</f>
        <v>1467500</v>
      </c>
      <c r="J306" s="17">
        <f>J307</f>
        <v>272083.7</v>
      </c>
      <c r="K306" s="41"/>
      <c r="L306" s="31"/>
    </row>
    <row r="307" spans="2:12" ht="23.25" customHeight="1">
      <c r="B307" s="4" t="s">
        <v>18</v>
      </c>
      <c r="C307" s="11" t="s">
        <v>91</v>
      </c>
      <c r="D307" s="11" t="s">
        <v>31</v>
      </c>
      <c r="E307" s="11" t="s">
        <v>190</v>
      </c>
      <c r="F307" s="11" t="s">
        <v>154</v>
      </c>
      <c r="G307" s="17">
        <v>1574788.27</v>
      </c>
      <c r="H307" s="17">
        <v>1447300</v>
      </c>
      <c r="I307" s="17">
        <v>1467500</v>
      </c>
      <c r="J307" s="17">
        <f>116182.21+28676+4687.32+7218.8+721.24+5277.44+95020+14300.69</f>
        <v>272083.7</v>
      </c>
      <c r="K307" s="41"/>
      <c r="L307" s="31"/>
    </row>
    <row r="308" spans="2:12" ht="12.75">
      <c r="B308" s="7" t="s">
        <v>113</v>
      </c>
      <c r="C308" s="9" t="s">
        <v>114</v>
      </c>
      <c r="D308" s="9" t="s">
        <v>10</v>
      </c>
      <c r="E308" s="9" t="s">
        <v>8</v>
      </c>
      <c r="F308" s="9" t="s">
        <v>11</v>
      </c>
      <c r="G308" s="24">
        <f>G309+G320+G323</f>
        <v>25808903.82</v>
      </c>
      <c r="H308" s="24">
        <f>H309+H320+H323</f>
        <v>17828300</v>
      </c>
      <c r="I308" s="24">
        <f>I309+I320+I323</f>
        <v>18252500.009999998</v>
      </c>
      <c r="J308" s="24">
        <f>J309+J320+J323</f>
        <v>12041978.120000001</v>
      </c>
      <c r="K308" s="41"/>
      <c r="L308" s="31"/>
    </row>
    <row r="309" spans="2:12" ht="33.75">
      <c r="B309" s="6" t="s">
        <v>115</v>
      </c>
      <c r="C309" s="10" t="s">
        <v>114</v>
      </c>
      <c r="D309" s="10" t="s">
        <v>9</v>
      </c>
      <c r="E309" s="10" t="s">
        <v>33</v>
      </c>
      <c r="F309" s="10" t="s">
        <v>11</v>
      </c>
      <c r="G309" s="21">
        <f>G310+G312+G314+G316+G318</f>
        <v>14988450.2</v>
      </c>
      <c r="H309" s="21">
        <f>H310+H312+H314+H316+H318</f>
        <v>15453800</v>
      </c>
      <c r="I309" s="21">
        <f>I310+I312+I314+I316+I318</f>
        <v>15725000</v>
      </c>
      <c r="J309" s="21">
        <f>J310+J312+J314+J316+J318</f>
        <v>3262750.2</v>
      </c>
      <c r="K309" s="40"/>
      <c r="L309" s="34"/>
    </row>
    <row r="310" spans="2:12" s="14" customFormat="1" ht="22.5">
      <c r="B310" s="28" t="s">
        <v>36</v>
      </c>
      <c r="C310" s="51" t="s">
        <v>114</v>
      </c>
      <c r="D310" s="51" t="s">
        <v>9</v>
      </c>
      <c r="E310" s="51" t="s">
        <v>37</v>
      </c>
      <c r="F310" s="51" t="s">
        <v>11</v>
      </c>
      <c r="G310" s="19">
        <f>G311</f>
        <v>0</v>
      </c>
      <c r="H310" s="19">
        <f>H311</f>
        <v>898100</v>
      </c>
      <c r="I310" s="19">
        <f>I311</f>
        <v>971700</v>
      </c>
      <c r="J310" s="19">
        <f>J311</f>
        <v>0</v>
      </c>
      <c r="K310" s="41"/>
      <c r="L310" s="31"/>
    </row>
    <row r="311" spans="2:12" s="14" customFormat="1" ht="11.25" customHeight="1">
      <c r="B311" s="28" t="s">
        <v>121</v>
      </c>
      <c r="C311" s="51" t="s">
        <v>114</v>
      </c>
      <c r="D311" s="51" t="s">
        <v>9</v>
      </c>
      <c r="E311" s="51" t="s">
        <v>37</v>
      </c>
      <c r="F311" s="51" t="s">
        <v>122</v>
      </c>
      <c r="G311" s="19">
        <v>0</v>
      </c>
      <c r="H311" s="19">
        <v>898100</v>
      </c>
      <c r="I311" s="19">
        <v>971700</v>
      </c>
      <c r="J311" s="19"/>
      <c r="K311" s="41"/>
      <c r="L311" s="31"/>
    </row>
    <row r="312" spans="2:12" ht="43.5" customHeight="1">
      <c r="B312" s="4" t="s">
        <v>286</v>
      </c>
      <c r="C312" s="11" t="s">
        <v>114</v>
      </c>
      <c r="D312" s="11" t="s">
        <v>9</v>
      </c>
      <c r="E312" s="11" t="s">
        <v>153</v>
      </c>
      <c r="F312" s="11" t="s">
        <v>11</v>
      </c>
      <c r="G312" s="17">
        <f>G313</f>
        <v>0</v>
      </c>
      <c r="H312" s="17">
        <f>H313</f>
        <v>14555700</v>
      </c>
      <c r="I312" s="17">
        <f>I313</f>
        <v>14753300</v>
      </c>
      <c r="J312" s="17">
        <f>J313</f>
        <v>0</v>
      </c>
      <c r="K312" s="41"/>
      <c r="L312" s="31"/>
    </row>
    <row r="313" spans="2:12" ht="12.75" customHeight="1">
      <c r="B313" s="4" t="s">
        <v>116</v>
      </c>
      <c r="C313" s="11" t="s">
        <v>114</v>
      </c>
      <c r="D313" s="11" t="s">
        <v>9</v>
      </c>
      <c r="E313" s="11" t="s">
        <v>153</v>
      </c>
      <c r="F313" s="11" t="s">
        <v>117</v>
      </c>
      <c r="G313" s="17">
        <v>0</v>
      </c>
      <c r="H313" s="17">
        <v>14555700</v>
      </c>
      <c r="I313" s="17">
        <v>14753300</v>
      </c>
      <c r="J313" s="17"/>
      <c r="K313" s="41"/>
      <c r="L313" s="31"/>
    </row>
    <row r="314" spans="2:12" ht="42.75" customHeight="1">
      <c r="B314" s="4" t="s">
        <v>285</v>
      </c>
      <c r="C314" s="11" t="s">
        <v>114</v>
      </c>
      <c r="D314" s="11" t="s">
        <v>9</v>
      </c>
      <c r="E314" s="11" t="s">
        <v>284</v>
      </c>
      <c r="F314" s="11" t="s">
        <v>11</v>
      </c>
      <c r="G314" s="17">
        <f>G315</f>
        <v>13080000</v>
      </c>
      <c r="H314" s="17">
        <f>H315</f>
        <v>0</v>
      </c>
      <c r="I314" s="17">
        <f>I315</f>
        <v>0</v>
      </c>
      <c r="J314" s="17">
        <f>J315</f>
        <v>2721000</v>
      </c>
      <c r="K314" s="41"/>
      <c r="L314" s="31"/>
    </row>
    <row r="315" spans="2:12" ht="12.75" customHeight="1">
      <c r="B315" s="4" t="s">
        <v>116</v>
      </c>
      <c r="C315" s="11" t="s">
        <v>114</v>
      </c>
      <c r="D315" s="11" t="s">
        <v>9</v>
      </c>
      <c r="E315" s="11" t="s">
        <v>284</v>
      </c>
      <c r="F315" s="11" t="s">
        <v>117</v>
      </c>
      <c r="G315" s="17">
        <v>13080000</v>
      </c>
      <c r="H315" s="17">
        <v>0</v>
      </c>
      <c r="I315" s="17">
        <v>0</v>
      </c>
      <c r="J315" s="17">
        <v>2721000</v>
      </c>
      <c r="K315" s="41"/>
      <c r="L315" s="31"/>
    </row>
    <row r="316" spans="2:12" ht="71.25" customHeight="1">
      <c r="B316" s="4" t="s">
        <v>289</v>
      </c>
      <c r="C316" s="11" t="s">
        <v>114</v>
      </c>
      <c r="D316" s="11" t="s">
        <v>9</v>
      </c>
      <c r="E316" s="11" t="s">
        <v>287</v>
      </c>
      <c r="F316" s="11" t="s">
        <v>11</v>
      </c>
      <c r="G316" s="17">
        <f>G317</f>
        <v>1597700</v>
      </c>
      <c r="H316" s="17">
        <f>H317</f>
        <v>0</v>
      </c>
      <c r="I316" s="17">
        <f>I317</f>
        <v>0</v>
      </c>
      <c r="J316" s="17">
        <f>J317</f>
        <v>231000</v>
      </c>
      <c r="K316" s="41"/>
      <c r="L316" s="31"/>
    </row>
    <row r="317" spans="2:12" ht="12.75" customHeight="1">
      <c r="B317" s="4" t="s">
        <v>116</v>
      </c>
      <c r="C317" s="11" t="s">
        <v>114</v>
      </c>
      <c r="D317" s="11" t="s">
        <v>9</v>
      </c>
      <c r="E317" s="11" t="s">
        <v>288</v>
      </c>
      <c r="F317" s="11" t="s">
        <v>117</v>
      </c>
      <c r="G317" s="17">
        <v>1597700</v>
      </c>
      <c r="H317" s="17">
        <v>0</v>
      </c>
      <c r="I317" s="17">
        <v>0</v>
      </c>
      <c r="J317" s="17">
        <v>231000</v>
      </c>
      <c r="K317" s="38"/>
      <c r="L317" s="39"/>
    </row>
    <row r="318" spans="2:12" ht="36.75" customHeight="1">
      <c r="B318" s="4" t="s">
        <v>244</v>
      </c>
      <c r="C318" s="11" t="s">
        <v>114</v>
      </c>
      <c r="D318" s="11" t="s">
        <v>9</v>
      </c>
      <c r="E318" s="11" t="s">
        <v>246</v>
      </c>
      <c r="F318" s="11" t="s">
        <v>11</v>
      </c>
      <c r="G318" s="17">
        <f>G319</f>
        <v>310750.2</v>
      </c>
      <c r="H318" s="17">
        <f>H319</f>
        <v>0</v>
      </c>
      <c r="I318" s="17">
        <f>I319</f>
        <v>0</v>
      </c>
      <c r="J318" s="17">
        <f>J319</f>
        <v>310750.2</v>
      </c>
      <c r="K318" s="40"/>
      <c r="L318" s="34"/>
    </row>
    <row r="319" spans="2:12" ht="12" customHeight="1">
      <c r="B319" s="4" t="s">
        <v>245</v>
      </c>
      <c r="C319" s="11" t="s">
        <v>114</v>
      </c>
      <c r="D319" s="11" t="s">
        <v>9</v>
      </c>
      <c r="E319" s="11" t="s">
        <v>246</v>
      </c>
      <c r="F319" s="11" t="s">
        <v>243</v>
      </c>
      <c r="G319" s="17">
        <v>310750.2</v>
      </c>
      <c r="H319" s="17">
        <v>0</v>
      </c>
      <c r="I319" s="17">
        <v>0</v>
      </c>
      <c r="J319" s="17">
        <v>310750.2</v>
      </c>
      <c r="K319" s="41"/>
      <c r="L319" s="31"/>
    </row>
    <row r="320" spans="2:12" ht="45.75" customHeight="1">
      <c r="B320" s="6" t="s">
        <v>249</v>
      </c>
      <c r="C320" s="10" t="s">
        <v>114</v>
      </c>
      <c r="D320" s="10" t="s">
        <v>13</v>
      </c>
      <c r="E320" s="10" t="s">
        <v>8</v>
      </c>
      <c r="F320" s="10" t="s">
        <v>11</v>
      </c>
      <c r="G320" s="21">
        <f aca="true" t="shared" si="8" ref="G320:J321">G321</f>
        <v>8113553.62</v>
      </c>
      <c r="H320" s="21">
        <f t="shared" si="8"/>
        <v>0</v>
      </c>
      <c r="I320" s="21">
        <f t="shared" si="8"/>
        <v>0</v>
      </c>
      <c r="J320" s="21">
        <f t="shared" si="8"/>
        <v>8113552.92</v>
      </c>
      <c r="K320" s="41"/>
      <c r="L320" s="31"/>
    </row>
    <row r="321" spans="2:12" s="14" customFormat="1" ht="22.5">
      <c r="B321" s="55" t="s">
        <v>36</v>
      </c>
      <c r="C321" s="15" t="s">
        <v>114</v>
      </c>
      <c r="D321" s="15" t="s">
        <v>13</v>
      </c>
      <c r="E321" s="15" t="s">
        <v>292</v>
      </c>
      <c r="F321" s="15" t="s">
        <v>11</v>
      </c>
      <c r="G321" s="27">
        <f t="shared" si="8"/>
        <v>8113553.62</v>
      </c>
      <c r="H321" s="27">
        <f t="shared" si="8"/>
        <v>0</v>
      </c>
      <c r="I321" s="27">
        <f t="shared" si="8"/>
        <v>0</v>
      </c>
      <c r="J321" s="27">
        <f t="shared" si="8"/>
        <v>8113552.92</v>
      </c>
      <c r="K321" s="41"/>
      <c r="L321" s="31"/>
    </row>
    <row r="322" spans="2:12" s="14" customFormat="1" ht="13.5" customHeight="1">
      <c r="B322" s="28" t="s">
        <v>332</v>
      </c>
      <c r="C322" s="15" t="s">
        <v>114</v>
      </c>
      <c r="D322" s="15" t="s">
        <v>13</v>
      </c>
      <c r="E322" s="15" t="s">
        <v>292</v>
      </c>
      <c r="F322" s="15" t="s">
        <v>210</v>
      </c>
      <c r="G322" s="27">
        <v>8113553.62</v>
      </c>
      <c r="H322" s="27">
        <v>0</v>
      </c>
      <c r="I322" s="27">
        <v>0</v>
      </c>
      <c r="J322" s="27">
        <f>8113552.92</f>
        <v>8113552.92</v>
      </c>
      <c r="K322" s="41"/>
      <c r="L322" s="31"/>
    </row>
    <row r="323" spans="2:12" ht="33.75">
      <c r="B323" s="6" t="s">
        <v>118</v>
      </c>
      <c r="C323" s="10" t="s">
        <v>114</v>
      </c>
      <c r="D323" s="10" t="s">
        <v>19</v>
      </c>
      <c r="E323" s="10" t="s">
        <v>8</v>
      </c>
      <c r="F323" s="10" t="s">
        <v>11</v>
      </c>
      <c r="G323" s="21">
        <f>G325+G327</f>
        <v>2706900</v>
      </c>
      <c r="H323" s="21">
        <f>H325+H327</f>
        <v>2374500</v>
      </c>
      <c r="I323" s="21">
        <f>I325+I327</f>
        <v>2527500.01</v>
      </c>
      <c r="J323" s="21">
        <f>J325+J327</f>
        <v>665675</v>
      </c>
      <c r="K323" s="40"/>
      <c r="L323" s="34"/>
    </row>
    <row r="324" spans="2:12" ht="37.5" customHeight="1">
      <c r="B324" s="4" t="s">
        <v>119</v>
      </c>
      <c r="C324" s="11" t="s">
        <v>114</v>
      </c>
      <c r="D324" s="11" t="s">
        <v>19</v>
      </c>
      <c r="E324" s="11" t="s">
        <v>120</v>
      </c>
      <c r="F324" s="11" t="s">
        <v>11</v>
      </c>
      <c r="G324" s="17">
        <f>G325</f>
        <v>2226200</v>
      </c>
      <c r="H324" s="17">
        <f>H325</f>
        <v>2374500</v>
      </c>
      <c r="I324" s="17">
        <f>I325</f>
        <v>2527500.01</v>
      </c>
      <c r="J324" s="17">
        <f>J325</f>
        <v>545500</v>
      </c>
      <c r="K324" s="32"/>
      <c r="L324" s="33"/>
    </row>
    <row r="325" spans="2:12" ht="12.75">
      <c r="B325" s="4" t="s">
        <v>121</v>
      </c>
      <c r="C325" s="11" t="s">
        <v>114</v>
      </c>
      <c r="D325" s="11" t="s">
        <v>19</v>
      </c>
      <c r="E325" s="11" t="s">
        <v>120</v>
      </c>
      <c r="F325" s="11" t="s">
        <v>122</v>
      </c>
      <c r="G325" s="17">
        <v>2226200</v>
      </c>
      <c r="H325" s="17">
        <v>2374500</v>
      </c>
      <c r="I325" s="17">
        <v>2527500.01</v>
      </c>
      <c r="J325" s="17">
        <v>545500</v>
      </c>
      <c r="K325" s="32"/>
      <c r="L325" s="33"/>
    </row>
    <row r="326" spans="2:12" ht="22.5">
      <c r="B326" s="4" t="s">
        <v>36</v>
      </c>
      <c r="C326" s="11" t="s">
        <v>114</v>
      </c>
      <c r="D326" s="11" t="s">
        <v>19</v>
      </c>
      <c r="E326" s="11" t="s">
        <v>37</v>
      </c>
      <c r="F326" s="11" t="s">
        <v>11</v>
      </c>
      <c r="G326" s="17">
        <f>G327</f>
        <v>480700</v>
      </c>
      <c r="H326" s="17">
        <f>H327</f>
        <v>0</v>
      </c>
      <c r="I326" s="17">
        <f>I327</f>
        <v>0</v>
      </c>
      <c r="J326" s="17">
        <f>J327</f>
        <v>120175</v>
      </c>
      <c r="K326" s="32"/>
      <c r="L326" s="33"/>
    </row>
    <row r="327" spans="2:12" ht="11.25" customHeight="1">
      <c r="B327" s="4" t="s">
        <v>121</v>
      </c>
      <c r="C327" s="11" t="s">
        <v>114</v>
      </c>
      <c r="D327" s="11" t="s">
        <v>19</v>
      </c>
      <c r="E327" s="11" t="s">
        <v>37</v>
      </c>
      <c r="F327" s="11" t="s">
        <v>122</v>
      </c>
      <c r="G327" s="17">
        <v>480700</v>
      </c>
      <c r="H327" s="17">
        <v>0</v>
      </c>
      <c r="I327" s="17">
        <v>0</v>
      </c>
      <c r="J327" s="17">
        <v>120175</v>
      </c>
      <c r="K327" s="32"/>
      <c r="L327" s="33"/>
    </row>
    <row r="328" spans="2:12" ht="9" customHeight="1" hidden="1">
      <c r="B328" s="1"/>
      <c r="C328" s="1"/>
      <c r="D328" s="1"/>
      <c r="E328" s="1"/>
      <c r="F328" s="1"/>
      <c r="G328" s="17"/>
      <c r="H328" s="17"/>
      <c r="I328" s="17"/>
      <c r="J328" s="17"/>
      <c r="K328" s="41"/>
      <c r="L328" s="31"/>
    </row>
    <row r="329" spans="2:12" s="53" customFormat="1" ht="12.75">
      <c r="B329" s="2" t="s">
        <v>2</v>
      </c>
      <c r="C329" s="2"/>
      <c r="D329" s="2"/>
      <c r="E329" s="2"/>
      <c r="F329" s="2"/>
      <c r="G329" s="52">
        <f>G9+G47+G70+G94+G142+G152+G198+G217+G253+G308</f>
        <v>863642045.3000001</v>
      </c>
      <c r="H329" s="52">
        <f>H9+H47+H70+H94+H142+H152+H198+H217+H253+H308</f>
        <v>746795900</v>
      </c>
      <c r="I329" s="52">
        <f>I9+I47+I70+I94+I142+I152+I198+I217+I253+I308</f>
        <v>799574600</v>
      </c>
      <c r="J329" s="52">
        <f>J9+J47+J70+J94+J142+J152+J198+J217+J253+J308</f>
        <v>264085864.91000003</v>
      </c>
      <c r="K329" s="38"/>
      <c r="L329" s="39"/>
    </row>
    <row r="330" spans="7:12" ht="12.75">
      <c r="G330" s="23"/>
      <c r="H330" s="23"/>
      <c r="I330" s="23"/>
      <c r="J330" s="41"/>
      <c r="K330" s="41"/>
      <c r="L330" s="31"/>
    </row>
    <row r="331" spans="5:12" s="30" customFormat="1" ht="12.75">
      <c r="E331" s="36"/>
      <c r="G331" s="45"/>
      <c r="H331" s="45"/>
      <c r="I331" s="45"/>
      <c r="J331" s="41"/>
      <c r="K331" s="41"/>
      <c r="L331" s="31"/>
    </row>
    <row r="332" spans="7:12" s="30" customFormat="1" ht="12.75">
      <c r="G332" s="45"/>
      <c r="H332" s="45"/>
      <c r="I332" s="45"/>
      <c r="J332" s="40"/>
      <c r="K332" s="40"/>
      <c r="L332" s="34"/>
    </row>
    <row r="333" spans="7:12" s="30" customFormat="1" ht="12.75">
      <c r="G333" s="45"/>
      <c r="H333" s="45"/>
      <c r="I333" s="45"/>
      <c r="J333" s="41"/>
      <c r="K333" s="41"/>
      <c r="L333" s="31"/>
    </row>
    <row r="334" spans="7:12" s="30" customFormat="1" ht="12.75">
      <c r="G334" s="45"/>
      <c r="H334" s="45"/>
      <c r="I334" s="45"/>
      <c r="J334" s="41"/>
      <c r="K334" s="41"/>
      <c r="L334" s="31"/>
    </row>
    <row r="335" spans="7:12" s="30" customFormat="1" ht="12.75">
      <c r="G335" s="45"/>
      <c r="H335" s="45"/>
      <c r="I335" s="45"/>
      <c r="J335" s="41"/>
      <c r="K335" s="41"/>
      <c r="L335" s="31"/>
    </row>
    <row r="336" spans="7:12" s="30" customFormat="1" ht="12.75">
      <c r="G336" s="45"/>
      <c r="H336" s="45"/>
      <c r="I336" s="45"/>
      <c r="J336" s="41"/>
      <c r="K336" s="41"/>
      <c r="L336" s="31"/>
    </row>
    <row r="337" spans="7:12" s="30" customFormat="1" ht="12.75">
      <c r="G337" s="45"/>
      <c r="H337" s="45"/>
      <c r="I337" s="45"/>
      <c r="J337" s="36"/>
      <c r="K337" s="36"/>
      <c r="L337" s="31"/>
    </row>
    <row r="338" spans="10:12" s="30" customFormat="1" ht="12.75">
      <c r="J338" s="36"/>
      <c r="K338" s="36"/>
      <c r="L338" s="44"/>
    </row>
    <row r="339" spans="10:12" s="30" customFormat="1" ht="12.75">
      <c r="J339" s="36"/>
      <c r="K339" s="36"/>
      <c r="L339" s="36"/>
    </row>
    <row r="340" spans="10:12" s="30" customFormat="1" ht="12.75">
      <c r="J340" s="36"/>
      <c r="K340" s="36"/>
      <c r="L340" s="36"/>
    </row>
    <row r="341" spans="10:12" s="30" customFormat="1" ht="12.75">
      <c r="J341" s="36"/>
      <c r="K341" s="36"/>
      <c r="L341" s="36"/>
    </row>
    <row r="342" spans="10:12" s="30" customFormat="1" ht="12.75">
      <c r="J342" s="36"/>
      <c r="K342" s="36"/>
      <c r="L342" s="36"/>
    </row>
    <row r="343" spans="10:12" s="30" customFormat="1" ht="12.75">
      <c r="J343" s="36"/>
      <c r="K343" s="36"/>
      <c r="L343" s="36"/>
    </row>
    <row r="344" spans="10:12" s="30" customFormat="1" ht="12.75">
      <c r="J344" s="36"/>
      <c r="K344" s="36"/>
      <c r="L344" s="36"/>
    </row>
    <row r="345" spans="10:12" s="30" customFormat="1" ht="12.75">
      <c r="J345" s="36"/>
      <c r="K345" s="36"/>
      <c r="L345" s="36"/>
    </row>
    <row r="346" spans="10:12" s="30" customFormat="1" ht="12.75">
      <c r="J346" s="36"/>
      <c r="K346" s="36"/>
      <c r="L346" s="36"/>
    </row>
    <row r="347" spans="10:12" s="30" customFormat="1" ht="12.75">
      <c r="J347" s="36"/>
      <c r="K347" s="36"/>
      <c r="L347" s="36"/>
    </row>
    <row r="348" spans="10:12" s="30" customFormat="1" ht="12.75">
      <c r="J348" s="36"/>
      <c r="K348" s="36"/>
      <c r="L348" s="36"/>
    </row>
    <row r="349" spans="10:12" s="30" customFormat="1" ht="12.75">
      <c r="J349" s="36"/>
      <c r="K349" s="36"/>
      <c r="L349" s="36"/>
    </row>
    <row r="350" spans="10:12" s="30" customFormat="1" ht="12.75">
      <c r="J350" s="36"/>
      <c r="K350" s="36"/>
      <c r="L350" s="36"/>
    </row>
    <row r="351" spans="10:12" s="30" customFormat="1" ht="12.75">
      <c r="J351" s="36"/>
      <c r="K351" s="36"/>
      <c r="L351" s="36"/>
    </row>
    <row r="352" spans="10:12" s="30" customFormat="1" ht="12.75">
      <c r="J352" s="36"/>
      <c r="K352" s="36"/>
      <c r="L352" s="36"/>
    </row>
    <row r="353" spans="10:12" s="30" customFormat="1" ht="12.75">
      <c r="J353" s="36"/>
      <c r="K353" s="36"/>
      <c r="L353" s="36"/>
    </row>
    <row r="354" spans="10:12" s="30" customFormat="1" ht="12.75">
      <c r="J354" s="36"/>
      <c r="K354" s="36"/>
      <c r="L354" s="36"/>
    </row>
    <row r="355" spans="10:12" s="30" customFormat="1" ht="12.75">
      <c r="J355" s="36"/>
      <c r="K355" s="36"/>
      <c r="L355" s="36"/>
    </row>
    <row r="356" spans="10:12" s="30" customFormat="1" ht="12.75">
      <c r="J356" s="36"/>
      <c r="K356" s="36"/>
      <c r="L356" s="36"/>
    </row>
    <row r="357" spans="10:12" s="30" customFormat="1" ht="12.75">
      <c r="J357" s="36"/>
      <c r="K357" s="36"/>
      <c r="L357" s="36"/>
    </row>
    <row r="358" spans="10:12" s="30" customFormat="1" ht="12.75">
      <c r="J358" s="36"/>
      <c r="K358" s="36"/>
      <c r="L358" s="36"/>
    </row>
    <row r="359" spans="10:12" s="30" customFormat="1" ht="12.75">
      <c r="J359" s="36"/>
      <c r="K359" s="36"/>
      <c r="L359" s="36"/>
    </row>
    <row r="360" spans="10:12" s="30" customFormat="1" ht="12.75">
      <c r="J360" s="36"/>
      <c r="K360" s="36"/>
      <c r="L360" s="36"/>
    </row>
    <row r="361" spans="10:12" s="30" customFormat="1" ht="12.75">
      <c r="J361" s="36"/>
      <c r="K361" s="36"/>
      <c r="L361" s="36"/>
    </row>
    <row r="362" spans="10:12" s="30" customFormat="1" ht="12.75">
      <c r="J362" s="36"/>
      <c r="K362" s="36"/>
      <c r="L362" s="36"/>
    </row>
    <row r="363" spans="10:12" s="30" customFormat="1" ht="12.75">
      <c r="J363" s="36"/>
      <c r="K363" s="36"/>
      <c r="L363" s="36"/>
    </row>
    <row r="364" spans="10:12" s="30" customFormat="1" ht="12.75">
      <c r="J364" s="36"/>
      <c r="K364" s="36"/>
      <c r="L364" s="36"/>
    </row>
    <row r="365" spans="10:12" s="30" customFormat="1" ht="12.75">
      <c r="J365" s="36"/>
      <c r="K365" s="36"/>
      <c r="L365" s="36"/>
    </row>
    <row r="366" spans="10:12" s="30" customFormat="1" ht="12.75">
      <c r="J366" s="36"/>
      <c r="K366" s="36"/>
      <c r="L366" s="36"/>
    </row>
    <row r="367" spans="10:12" s="30" customFormat="1" ht="12.75">
      <c r="J367" s="36"/>
      <c r="K367" s="36"/>
      <c r="L367" s="36"/>
    </row>
    <row r="368" spans="10:12" s="30" customFormat="1" ht="12.75">
      <c r="J368" s="36"/>
      <c r="K368" s="36"/>
      <c r="L368" s="36"/>
    </row>
    <row r="369" spans="10:12" s="30" customFormat="1" ht="12.75">
      <c r="J369" s="36"/>
      <c r="K369" s="36"/>
      <c r="L369" s="36"/>
    </row>
    <row r="370" spans="10:12" s="30" customFormat="1" ht="12.75">
      <c r="J370" s="36"/>
      <c r="K370" s="36"/>
      <c r="L370" s="36"/>
    </row>
    <row r="371" spans="10:12" s="30" customFormat="1" ht="12.75">
      <c r="J371" s="36"/>
      <c r="K371" s="36"/>
      <c r="L371" s="36"/>
    </row>
    <row r="372" spans="10:12" s="30" customFormat="1" ht="12.75">
      <c r="J372" s="36"/>
      <c r="K372" s="36"/>
      <c r="L372" s="36"/>
    </row>
    <row r="373" spans="10:12" s="30" customFormat="1" ht="12.75">
      <c r="J373" s="36"/>
      <c r="K373" s="36"/>
      <c r="L373" s="36"/>
    </row>
    <row r="374" spans="10:12" s="30" customFormat="1" ht="12.75">
      <c r="J374" s="36"/>
      <c r="K374" s="36"/>
      <c r="L374" s="36"/>
    </row>
    <row r="375" spans="10:12" s="30" customFormat="1" ht="12.75">
      <c r="J375" s="36"/>
      <c r="K375" s="36"/>
      <c r="L375" s="36"/>
    </row>
    <row r="376" spans="10:12" s="30" customFormat="1" ht="12.75">
      <c r="J376" s="36"/>
      <c r="K376" s="36"/>
      <c r="L376" s="36"/>
    </row>
    <row r="377" spans="10:12" s="30" customFormat="1" ht="12.75">
      <c r="J377" s="36"/>
      <c r="K377" s="36"/>
      <c r="L377" s="36"/>
    </row>
    <row r="378" spans="10:12" s="30" customFormat="1" ht="12.75">
      <c r="J378" s="36"/>
      <c r="K378" s="36"/>
      <c r="L378" s="36"/>
    </row>
    <row r="379" spans="10:12" s="30" customFormat="1" ht="12.75">
      <c r="J379" s="36"/>
      <c r="K379" s="36"/>
      <c r="L379" s="36"/>
    </row>
    <row r="380" spans="10:12" s="30" customFormat="1" ht="12.75">
      <c r="J380" s="36"/>
      <c r="K380" s="36"/>
      <c r="L380" s="36"/>
    </row>
    <row r="381" spans="10:12" s="30" customFormat="1" ht="12.75">
      <c r="J381" s="36"/>
      <c r="K381" s="36"/>
      <c r="L381" s="36"/>
    </row>
    <row r="382" spans="10:12" s="30" customFormat="1" ht="12.75">
      <c r="J382" s="36"/>
      <c r="K382" s="36"/>
      <c r="L382" s="36"/>
    </row>
    <row r="383" spans="10:12" s="30" customFormat="1" ht="12.75">
      <c r="J383" s="36"/>
      <c r="K383" s="36"/>
      <c r="L383" s="36"/>
    </row>
    <row r="384" spans="10:12" s="30" customFormat="1" ht="12.75">
      <c r="J384" s="36"/>
      <c r="K384" s="36"/>
      <c r="L384" s="36"/>
    </row>
    <row r="385" spans="10:12" s="30" customFormat="1" ht="12.75">
      <c r="J385" s="36"/>
      <c r="K385" s="36"/>
      <c r="L385" s="36"/>
    </row>
    <row r="386" spans="10:12" s="30" customFormat="1" ht="12.75">
      <c r="J386" s="36"/>
      <c r="K386" s="36"/>
      <c r="L386" s="36"/>
    </row>
    <row r="387" spans="10:12" s="30" customFormat="1" ht="12.75">
      <c r="J387" s="36"/>
      <c r="K387" s="36"/>
      <c r="L387" s="36"/>
    </row>
    <row r="388" spans="10:12" s="30" customFormat="1" ht="12.75">
      <c r="J388" s="36"/>
      <c r="K388" s="36"/>
      <c r="L388" s="36"/>
    </row>
    <row r="389" spans="10:12" s="30" customFormat="1" ht="12.75">
      <c r="J389" s="36"/>
      <c r="K389" s="36"/>
      <c r="L389" s="36"/>
    </row>
    <row r="390" spans="10:12" s="30" customFormat="1" ht="12.75">
      <c r="J390" s="36"/>
      <c r="K390" s="36"/>
      <c r="L390" s="36"/>
    </row>
    <row r="391" spans="10:12" s="30" customFormat="1" ht="12.75">
      <c r="J391" s="36"/>
      <c r="K391" s="36"/>
      <c r="L391" s="36"/>
    </row>
    <row r="392" spans="10:12" s="30" customFormat="1" ht="12.75">
      <c r="J392" s="36"/>
      <c r="K392" s="36"/>
      <c r="L392" s="36"/>
    </row>
    <row r="393" spans="10:12" s="30" customFormat="1" ht="12.75">
      <c r="J393" s="36"/>
      <c r="K393" s="36"/>
      <c r="L393" s="36"/>
    </row>
    <row r="394" spans="10:12" s="30" customFormat="1" ht="12.75">
      <c r="J394" s="36"/>
      <c r="K394" s="36"/>
      <c r="L394" s="36"/>
    </row>
    <row r="395" spans="10:12" s="30" customFormat="1" ht="12.75">
      <c r="J395" s="36"/>
      <c r="K395" s="36"/>
      <c r="L395" s="36"/>
    </row>
    <row r="396" spans="10:12" s="30" customFormat="1" ht="12.75">
      <c r="J396" s="36"/>
      <c r="K396" s="36"/>
      <c r="L396" s="36"/>
    </row>
    <row r="397" spans="10:12" s="30" customFormat="1" ht="12.75">
      <c r="J397" s="36"/>
      <c r="K397" s="36"/>
      <c r="L397" s="36"/>
    </row>
    <row r="398" spans="10:12" s="30" customFormat="1" ht="12.75">
      <c r="J398" s="36"/>
      <c r="K398" s="36"/>
      <c r="L398" s="36"/>
    </row>
    <row r="399" spans="10:12" s="30" customFormat="1" ht="12.75">
      <c r="J399" s="36"/>
      <c r="K399" s="36"/>
      <c r="L399" s="36"/>
    </row>
    <row r="400" spans="10:12" s="30" customFormat="1" ht="12.75">
      <c r="J400" s="36"/>
      <c r="K400" s="36"/>
      <c r="L400" s="36"/>
    </row>
    <row r="401" spans="10:12" s="30" customFormat="1" ht="12.75">
      <c r="J401" s="36"/>
      <c r="K401" s="36"/>
      <c r="L401" s="36"/>
    </row>
    <row r="402" spans="10:12" s="30" customFormat="1" ht="12.75">
      <c r="J402" s="36"/>
      <c r="K402" s="36"/>
      <c r="L402" s="36"/>
    </row>
    <row r="403" spans="10:12" s="30" customFormat="1" ht="12.75">
      <c r="J403" s="36"/>
      <c r="K403" s="36"/>
      <c r="L403" s="36"/>
    </row>
    <row r="404" spans="10:12" s="30" customFormat="1" ht="12.75">
      <c r="J404" s="36"/>
      <c r="K404" s="36"/>
      <c r="L404" s="36"/>
    </row>
    <row r="405" spans="10:12" s="30" customFormat="1" ht="12.75">
      <c r="J405" s="36"/>
      <c r="K405" s="36"/>
      <c r="L405" s="36"/>
    </row>
    <row r="406" spans="10:12" s="30" customFormat="1" ht="12.75">
      <c r="J406" s="36"/>
      <c r="K406" s="36"/>
      <c r="L406" s="36"/>
    </row>
    <row r="407" spans="10:12" s="30" customFormat="1" ht="12.75">
      <c r="J407" s="36"/>
      <c r="K407" s="36"/>
      <c r="L407" s="36"/>
    </row>
    <row r="408" spans="10:12" s="30" customFormat="1" ht="12.75">
      <c r="J408" s="36"/>
      <c r="K408" s="36"/>
      <c r="L408" s="36"/>
    </row>
    <row r="409" spans="10:12" s="30" customFormat="1" ht="12.75">
      <c r="J409" s="36"/>
      <c r="K409" s="36"/>
      <c r="L409" s="36"/>
    </row>
    <row r="410" spans="10:12" s="30" customFormat="1" ht="12.75">
      <c r="J410" s="36"/>
      <c r="K410" s="36"/>
      <c r="L410" s="36"/>
    </row>
    <row r="411" spans="10:12" s="30" customFormat="1" ht="12.75">
      <c r="J411" s="36"/>
      <c r="K411" s="36"/>
      <c r="L411" s="36"/>
    </row>
    <row r="412" spans="10:12" s="30" customFormat="1" ht="12.75">
      <c r="J412" s="36"/>
      <c r="K412" s="36"/>
      <c r="L412" s="36"/>
    </row>
    <row r="413" spans="10:12" s="30" customFormat="1" ht="12.75">
      <c r="J413" s="36"/>
      <c r="K413" s="36"/>
      <c r="L413" s="36"/>
    </row>
    <row r="414" spans="10:12" s="30" customFormat="1" ht="12.75">
      <c r="J414" s="36"/>
      <c r="K414" s="36"/>
      <c r="L414" s="36"/>
    </row>
    <row r="415" spans="10:12" s="30" customFormat="1" ht="12.75">
      <c r="J415" s="36"/>
      <c r="K415" s="36"/>
      <c r="L415" s="36"/>
    </row>
    <row r="416" spans="10:12" s="30" customFormat="1" ht="12.75">
      <c r="J416" s="36"/>
      <c r="K416" s="36"/>
      <c r="L416" s="36"/>
    </row>
    <row r="417" spans="10:12" s="30" customFormat="1" ht="12.75">
      <c r="J417" s="36"/>
      <c r="K417" s="36"/>
      <c r="L417" s="36"/>
    </row>
    <row r="418" spans="10:12" s="30" customFormat="1" ht="12.75">
      <c r="J418" s="36"/>
      <c r="K418" s="36"/>
      <c r="L418" s="36"/>
    </row>
    <row r="419" spans="10:12" s="30" customFormat="1" ht="12.75">
      <c r="J419" s="36"/>
      <c r="K419" s="36"/>
      <c r="L419" s="36"/>
    </row>
    <row r="420" spans="10:12" s="30" customFormat="1" ht="12.75">
      <c r="J420" s="36"/>
      <c r="K420" s="36"/>
      <c r="L420" s="36"/>
    </row>
    <row r="421" spans="10:12" s="30" customFormat="1" ht="12.75">
      <c r="J421" s="36"/>
      <c r="K421" s="36"/>
      <c r="L421" s="36"/>
    </row>
    <row r="422" spans="10:12" s="30" customFormat="1" ht="12.75">
      <c r="J422" s="36"/>
      <c r="K422" s="36"/>
      <c r="L422" s="36"/>
    </row>
    <row r="423" spans="10:12" s="30" customFormat="1" ht="12.75">
      <c r="J423" s="36"/>
      <c r="K423" s="36"/>
      <c r="L423" s="36"/>
    </row>
    <row r="424" spans="10:12" s="30" customFormat="1" ht="12.75">
      <c r="J424" s="36"/>
      <c r="K424" s="36"/>
      <c r="L424" s="36"/>
    </row>
    <row r="425" spans="10:12" s="30" customFormat="1" ht="12.75">
      <c r="J425" s="36"/>
      <c r="K425" s="36"/>
      <c r="L425" s="36"/>
    </row>
    <row r="426" spans="10:12" s="30" customFormat="1" ht="12.75">
      <c r="J426" s="36"/>
      <c r="K426" s="36"/>
      <c r="L426" s="36"/>
    </row>
    <row r="427" spans="10:12" s="30" customFormat="1" ht="12.75">
      <c r="J427" s="36"/>
      <c r="K427" s="36"/>
      <c r="L427" s="36"/>
    </row>
    <row r="428" spans="10:12" s="30" customFormat="1" ht="12.75">
      <c r="J428" s="36"/>
      <c r="K428" s="36"/>
      <c r="L428" s="36"/>
    </row>
    <row r="429" spans="10:12" s="30" customFormat="1" ht="12.75">
      <c r="J429" s="36"/>
      <c r="K429" s="36"/>
      <c r="L429" s="36"/>
    </row>
    <row r="430" spans="10:12" s="30" customFormat="1" ht="12.75">
      <c r="J430" s="36"/>
      <c r="K430" s="36"/>
      <c r="L430" s="36"/>
    </row>
    <row r="431" spans="10:12" s="30" customFormat="1" ht="12.75">
      <c r="J431" s="36"/>
      <c r="K431" s="36"/>
      <c r="L431" s="36"/>
    </row>
    <row r="432" spans="10:12" s="30" customFormat="1" ht="12.75">
      <c r="J432" s="36"/>
      <c r="K432" s="36"/>
      <c r="L432" s="36"/>
    </row>
    <row r="433" spans="10:12" s="30" customFormat="1" ht="12.75">
      <c r="J433" s="36"/>
      <c r="K433" s="36"/>
      <c r="L433" s="36"/>
    </row>
    <row r="434" spans="10:12" s="30" customFormat="1" ht="12.75">
      <c r="J434" s="36"/>
      <c r="K434" s="36"/>
      <c r="L434" s="36"/>
    </row>
    <row r="435" spans="10:12" s="30" customFormat="1" ht="12.75">
      <c r="J435" s="36"/>
      <c r="K435" s="36"/>
      <c r="L435" s="36"/>
    </row>
    <row r="436" spans="10:12" s="30" customFormat="1" ht="12.75">
      <c r="J436" s="36"/>
      <c r="K436" s="36"/>
      <c r="L436" s="36"/>
    </row>
    <row r="437" spans="10:12" s="30" customFormat="1" ht="12.75">
      <c r="J437" s="36"/>
      <c r="K437" s="36"/>
      <c r="L437" s="36"/>
    </row>
    <row r="438" spans="10:12" s="30" customFormat="1" ht="12.75">
      <c r="J438" s="36"/>
      <c r="K438" s="36"/>
      <c r="L438" s="36"/>
    </row>
    <row r="439" spans="10:12" s="30" customFormat="1" ht="12.75">
      <c r="J439" s="36"/>
      <c r="K439" s="36"/>
      <c r="L439" s="36"/>
    </row>
    <row r="440" spans="10:12" s="30" customFormat="1" ht="12.75">
      <c r="J440" s="36"/>
      <c r="K440" s="36"/>
      <c r="L440" s="36"/>
    </row>
    <row r="441" spans="10:12" s="30" customFormat="1" ht="12.75">
      <c r="J441" s="36"/>
      <c r="K441" s="36"/>
      <c r="L441" s="36"/>
    </row>
    <row r="442" spans="10:12" s="30" customFormat="1" ht="12.75">
      <c r="J442" s="36"/>
      <c r="K442" s="36"/>
      <c r="L442" s="36"/>
    </row>
    <row r="443" spans="10:12" s="30" customFormat="1" ht="12.75">
      <c r="J443" s="36"/>
      <c r="K443" s="36"/>
      <c r="L443" s="36"/>
    </row>
    <row r="444" spans="10:12" s="30" customFormat="1" ht="12.75">
      <c r="J444" s="36"/>
      <c r="K444" s="36"/>
      <c r="L444" s="36"/>
    </row>
    <row r="445" spans="10:12" s="30" customFormat="1" ht="12.75">
      <c r="J445" s="36"/>
      <c r="K445" s="36"/>
      <c r="L445" s="36"/>
    </row>
    <row r="446" spans="10:12" s="30" customFormat="1" ht="12.75">
      <c r="J446" s="36"/>
      <c r="K446" s="36"/>
      <c r="L446" s="36"/>
    </row>
    <row r="447" spans="10:12" s="30" customFormat="1" ht="12.75">
      <c r="J447" s="36"/>
      <c r="K447" s="36"/>
      <c r="L447" s="36"/>
    </row>
    <row r="448" spans="10:12" s="30" customFormat="1" ht="12.75">
      <c r="J448" s="36"/>
      <c r="K448" s="36"/>
      <c r="L448" s="36"/>
    </row>
    <row r="449" spans="10:12" s="30" customFormat="1" ht="12.75">
      <c r="J449" s="36"/>
      <c r="K449" s="36"/>
      <c r="L449" s="36"/>
    </row>
    <row r="450" spans="10:12" s="30" customFormat="1" ht="12.75">
      <c r="J450" s="36"/>
      <c r="K450" s="36"/>
      <c r="L450" s="36"/>
    </row>
    <row r="451" spans="10:12" s="30" customFormat="1" ht="12.75">
      <c r="J451" s="36"/>
      <c r="K451" s="36"/>
      <c r="L451" s="36"/>
    </row>
    <row r="452" spans="10:12" s="30" customFormat="1" ht="12.75">
      <c r="J452" s="36"/>
      <c r="K452" s="36"/>
      <c r="L452" s="36"/>
    </row>
    <row r="453" spans="10:12" s="30" customFormat="1" ht="12.75">
      <c r="J453" s="36"/>
      <c r="K453" s="36"/>
      <c r="L453" s="36"/>
    </row>
    <row r="454" spans="10:12" s="30" customFormat="1" ht="12.75">
      <c r="J454" s="36"/>
      <c r="K454" s="36"/>
      <c r="L454" s="36"/>
    </row>
    <row r="455" spans="10:12" s="30" customFormat="1" ht="12.75">
      <c r="J455" s="36"/>
      <c r="K455" s="36"/>
      <c r="L455" s="36"/>
    </row>
    <row r="456" spans="10:12" s="30" customFormat="1" ht="12.75">
      <c r="J456" s="36"/>
      <c r="K456" s="36"/>
      <c r="L456" s="36"/>
    </row>
    <row r="457" spans="10:12" s="30" customFormat="1" ht="12.75">
      <c r="J457" s="36"/>
      <c r="K457" s="36"/>
      <c r="L457" s="36"/>
    </row>
    <row r="458" spans="10:12" s="30" customFormat="1" ht="12.75">
      <c r="J458" s="36"/>
      <c r="K458" s="36"/>
      <c r="L458" s="36"/>
    </row>
    <row r="459" spans="10:12" s="30" customFormat="1" ht="12.75">
      <c r="J459" s="36"/>
      <c r="K459" s="36"/>
      <c r="L459" s="36"/>
    </row>
    <row r="460" spans="10:12" s="30" customFormat="1" ht="12.75">
      <c r="J460" s="36"/>
      <c r="K460" s="36"/>
      <c r="L460" s="36"/>
    </row>
    <row r="461" spans="10:12" s="30" customFormat="1" ht="12.75">
      <c r="J461" s="36"/>
      <c r="K461" s="36"/>
      <c r="L461" s="36"/>
    </row>
    <row r="462" spans="10:12" s="30" customFormat="1" ht="12.75">
      <c r="J462" s="36"/>
      <c r="K462" s="36"/>
      <c r="L462" s="36"/>
    </row>
    <row r="463" spans="10:12" s="30" customFormat="1" ht="12.75">
      <c r="J463" s="36"/>
      <c r="K463" s="36"/>
      <c r="L463" s="36"/>
    </row>
    <row r="464" spans="10:12" s="30" customFormat="1" ht="12.75">
      <c r="J464" s="36"/>
      <c r="K464" s="36"/>
      <c r="L464" s="36"/>
    </row>
    <row r="465" spans="10:12" s="30" customFormat="1" ht="12.75">
      <c r="J465" s="36"/>
      <c r="K465" s="36"/>
      <c r="L465" s="36"/>
    </row>
    <row r="466" spans="10:12" s="30" customFormat="1" ht="12.75">
      <c r="J466" s="36"/>
      <c r="K466" s="36"/>
      <c r="L466" s="36"/>
    </row>
    <row r="467" spans="10:12" s="30" customFormat="1" ht="12.75">
      <c r="J467" s="36"/>
      <c r="K467" s="36"/>
      <c r="L467" s="36"/>
    </row>
    <row r="468" spans="10:12" s="30" customFormat="1" ht="12.75">
      <c r="J468" s="36"/>
      <c r="K468" s="36"/>
      <c r="L468" s="36"/>
    </row>
    <row r="469" spans="10:12" s="30" customFormat="1" ht="12.75">
      <c r="J469" s="36"/>
      <c r="K469" s="36"/>
      <c r="L469" s="36"/>
    </row>
    <row r="470" spans="10:12" s="30" customFormat="1" ht="12.75">
      <c r="J470" s="36"/>
      <c r="K470" s="36"/>
      <c r="L470" s="36"/>
    </row>
    <row r="471" spans="10:12" s="30" customFormat="1" ht="12.75">
      <c r="J471" s="36"/>
      <c r="K471" s="36"/>
      <c r="L471" s="36"/>
    </row>
    <row r="472" spans="10:12" s="30" customFormat="1" ht="12.75">
      <c r="J472" s="36"/>
      <c r="K472" s="36"/>
      <c r="L472" s="36"/>
    </row>
    <row r="473" spans="10:12" s="30" customFormat="1" ht="12.75">
      <c r="J473" s="36"/>
      <c r="K473" s="36"/>
      <c r="L473" s="36"/>
    </row>
    <row r="474" spans="10:12" s="30" customFormat="1" ht="12.75">
      <c r="J474" s="36"/>
      <c r="K474" s="36"/>
      <c r="L474" s="36"/>
    </row>
    <row r="475" spans="10:12" s="30" customFormat="1" ht="12.75">
      <c r="J475" s="36"/>
      <c r="K475" s="36"/>
      <c r="L475" s="36"/>
    </row>
    <row r="476" spans="10:12" s="30" customFormat="1" ht="12.75">
      <c r="J476" s="36"/>
      <c r="K476" s="36"/>
      <c r="L476" s="36"/>
    </row>
    <row r="477" spans="10:12" s="30" customFormat="1" ht="12.75">
      <c r="J477" s="36"/>
      <c r="K477" s="36"/>
      <c r="L477" s="36"/>
    </row>
    <row r="478" spans="10:12" s="30" customFormat="1" ht="12.75">
      <c r="J478" s="36"/>
      <c r="K478" s="36"/>
      <c r="L478" s="36"/>
    </row>
    <row r="479" spans="10:12" s="30" customFormat="1" ht="12.75">
      <c r="J479" s="36"/>
      <c r="K479" s="36"/>
      <c r="L479" s="36"/>
    </row>
    <row r="480" spans="10:12" s="30" customFormat="1" ht="12.75">
      <c r="J480" s="36"/>
      <c r="K480" s="36"/>
      <c r="L480" s="36"/>
    </row>
    <row r="481" spans="10:12" s="30" customFormat="1" ht="12.75">
      <c r="J481" s="36"/>
      <c r="K481" s="36"/>
      <c r="L481" s="36"/>
    </row>
    <row r="482" spans="10:12" s="30" customFormat="1" ht="12.75">
      <c r="J482" s="36"/>
      <c r="K482" s="36"/>
      <c r="L482" s="36"/>
    </row>
    <row r="483" spans="10:12" s="30" customFormat="1" ht="12.75">
      <c r="J483" s="36"/>
      <c r="K483" s="36"/>
      <c r="L483" s="36"/>
    </row>
    <row r="484" spans="10:12" s="30" customFormat="1" ht="12.75">
      <c r="J484" s="36"/>
      <c r="K484" s="36"/>
      <c r="L484" s="36"/>
    </row>
    <row r="485" spans="10:12" s="30" customFormat="1" ht="12.75">
      <c r="J485" s="36"/>
      <c r="K485" s="36"/>
      <c r="L485" s="36"/>
    </row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  <row r="1056" s="30" customFormat="1" ht="12.75"/>
    <row r="1057" s="30" customFormat="1" ht="12.75"/>
    <row r="1058" s="30" customFormat="1" ht="12.75"/>
    <row r="1059" s="30" customFormat="1" ht="12.75"/>
    <row r="1060" s="30" customFormat="1" ht="12.75"/>
    <row r="1061" s="30" customFormat="1" ht="12.75"/>
    <row r="1062" s="30" customFormat="1" ht="12.75"/>
    <row r="1063" s="30" customFormat="1" ht="12.75"/>
    <row r="1064" s="30" customFormat="1" ht="12.75"/>
    <row r="1065" s="30" customFormat="1" ht="12.75"/>
    <row r="1066" s="30" customFormat="1" ht="12.75"/>
    <row r="1067" s="30" customFormat="1" ht="12.75"/>
    <row r="1068" s="30" customFormat="1" ht="12.75"/>
    <row r="1069" s="30" customFormat="1" ht="12.75"/>
    <row r="1070" s="30" customFormat="1" ht="12.75"/>
    <row r="1071" s="30" customFormat="1" ht="12.75"/>
    <row r="1072" s="30" customFormat="1" ht="12.75"/>
    <row r="1073" s="30" customFormat="1" ht="12.75"/>
    <row r="1074" s="30" customFormat="1" ht="12.75"/>
    <row r="1075" s="30" customFormat="1" ht="12.75"/>
    <row r="1076" s="30" customFormat="1" ht="12.75"/>
    <row r="1077" s="30" customFormat="1" ht="12.75"/>
    <row r="1078" s="30" customFormat="1" ht="12.75"/>
    <row r="1079" s="30" customFormat="1" ht="12.75"/>
    <row r="1080" s="30" customFormat="1" ht="12.75"/>
    <row r="1081" s="30" customFormat="1" ht="12.75"/>
    <row r="1082" s="30" customFormat="1" ht="12.75"/>
    <row r="1083" s="30" customFormat="1" ht="12.75"/>
    <row r="1084" s="30" customFormat="1" ht="12.75"/>
    <row r="1085" s="30" customFormat="1" ht="12.75"/>
    <row r="1086" s="30" customFormat="1" ht="12.75"/>
    <row r="1087" s="30" customFormat="1" ht="12.75"/>
    <row r="1088" s="30" customFormat="1" ht="12.75"/>
    <row r="1089" s="30" customFormat="1" ht="12.75"/>
    <row r="1090" s="30" customFormat="1" ht="12.75"/>
    <row r="1091" s="30" customFormat="1" ht="12.75"/>
    <row r="1092" s="30" customFormat="1" ht="12.75"/>
    <row r="1093" s="30" customFormat="1" ht="12.75"/>
    <row r="1094" s="30" customFormat="1" ht="12.75"/>
    <row r="1095" s="30" customFormat="1" ht="12.75"/>
    <row r="1096" s="30" customFormat="1" ht="12.75"/>
    <row r="1097" s="30" customFormat="1" ht="12.75"/>
    <row r="1098" s="30" customFormat="1" ht="12.75"/>
    <row r="1099" s="30" customFormat="1" ht="12.75"/>
    <row r="1100" s="30" customFormat="1" ht="12.75"/>
    <row r="1101" s="30" customFormat="1" ht="12.75"/>
    <row r="1102" s="30" customFormat="1" ht="12.75"/>
    <row r="1103" s="30" customFormat="1" ht="12.75"/>
    <row r="1104" s="30" customFormat="1" ht="12.75"/>
    <row r="1105" s="30" customFormat="1" ht="12.75"/>
    <row r="1106" s="30" customFormat="1" ht="12.75"/>
    <row r="1107" s="30" customFormat="1" ht="12.75"/>
    <row r="1108" s="30" customFormat="1" ht="12.75"/>
    <row r="1109" s="30" customFormat="1" ht="12.75"/>
    <row r="1110" s="30" customFormat="1" ht="12.75"/>
    <row r="1111" s="30" customFormat="1" ht="12.75"/>
    <row r="1112" s="30" customFormat="1" ht="12.75"/>
    <row r="1113" s="30" customFormat="1" ht="12.75"/>
    <row r="1114" s="30" customFormat="1" ht="12.75"/>
    <row r="1115" s="30" customFormat="1" ht="12.75"/>
    <row r="1116" s="30" customFormat="1" ht="12.75"/>
    <row r="1117" s="30" customFormat="1" ht="12.75"/>
    <row r="1118" s="30" customFormat="1" ht="12.75"/>
    <row r="1119" s="30" customFormat="1" ht="12.75"/>
    <row r="1120" s="30" customFormat="1" ht="12.75"/>
    <row r="1121" s="30" customFormat="1" ht="12.75"/>
    <row r="1122" s="30" customFormat="1" ht="12.75"/>
    <row r="1123" s="30" customFormat="1" ht="12.75"/>
    <row r="1124" s="30" customFormat="1" ht="12.75"/>
    <row r="1125" s="30" customFormat="1" ht="12.75"/>
    <row r="1126" s="30" customFormat="1" ht="12.75"/>
    <row r="1127" s="30" customFormat="1" ht="12.75"/>
    <row r="1128" s="30" customFormat="1" ht="12.75"/>
    <row r="1129" s="30" customFormat="1" ht="12.75"/>
    <row r="1130" s="30" customFormat="1" ht="12.75"/>
    <row r="1131" s="30" customFormat="1" ht="12.75"/>
    <row r="1132" s="30" customFormat="1" ht="12.75"/>
    <row r="1133" s="30" customFormat="1" ht="12.75"/>
    <row r="1134" s="30" customFormat="1" ht="12.75"/>
    <row r="1135" s="30" customFormat="1" ht="12.75"/>
    <row r="1136" s="30" customFormat="1" ht="12.75"/>
    <row r="1137" s="30" customFormat="1" ht="12.75"/>
    <row r="1138" s="30" customFormat="1" ht="12.75"/>
    <row r="1139" s="30" customFormat="1" ht="12.75"/>
    <row r="1140" s="30" customFormat="1" ht="12.75"/>
    <row r="1141" s="30" customFormat="1" ht="12.75"/>
    <row r="1142" s="30" customFormat="1" ht="12.75"/>
    <row r="1143" s="30" customFormat="1" ht="12.75"/>
    <row r="1144" s="30" customFormat="1" ht="12.75"/>
    <row r="1145" s="30" customFormat="1" ht="12.75"/>
    <row r="1146" s="30" customFormat="1" ht="12.75"/>
    <row r="1147" s="30" customFormat="1" ht="12.75"/>
    <row r="1148" s="30" customFormat="1" ht="12.75"/>
    <row r="1149" s="30" customFormat="1" ht="12.75"/>
    <row r="1150" s="30" customFormat="1" ht="12.75"/>
    <row r="1151" s="30" customFormat="1" ht="12.75"/>
    <row r="1152" s="30" customFormat="1" ht="12.75"/>
    <row r="1153" s="30" customFormat="1" ht="12.75"/>
    <row r="1154" s="30" customFormat="1" ht="12.75"/>
    <row r="1155" s="30" customFormat="1" ht="12.75"/>
  </sheetData>
  <sheetProtection/>
  <mergeCells count="11">
    <mergeCell ref="H6:H7"/>
    <mergeCell ref="I6:I7"/>
    <mergeCell ref="L6:L7"/>
    <mergeCell ref="E1:G3"/>
    <mergeCell ref="B5:E5"/>
    <mergeCell ref="F5:G5"/>
    <mergeCell ref="J6:J7"/>
    <mergeCell ref="A4:G4"/>
    <mergeCell ref="B6:B7"/>
    <mergeCell ref="C6:F6"/>
    <mergeCell ref="G6:G7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6"/>
  <sheetViews>
    <sheetView view="pageLayout" workbookViewId="0" topLeftCell="A1">
      <selection activeCell="A95" sqref="A95"/>
    </sheetView>
  </sheetViews>
  <sheetFormatPr defaultColWidth="9.00390625" defaultRowHeight="12.75"/>
  <cols>
    <col min="1" max="1" width="30.375" style="0" customWidth="1"/>
    <col min="2" max="2" width="7.625" style="0" customWidth="1"/>
    <col min="3" max="3" width="6.875" style="0" customWidth="1"/>
    <col min="4" max="4" width="9.875" style="0" customWidth="1"/>
    <col min="5" max="5" width="6.00390625" style="0" customWidth="1"/>
    <col min="6" max="6" width="17.25390625" style="0" customWidth="1"/>
    <col min="7" max="7" width="15.75390625" style="0" customWidth="1"/>
    <col min="9" max="9" width="13.875" style="0" customWidth="1"/>
    <col min="10" max="10" width="12.875" style="0" customWidth="1"/>
  </cols>
  <sheetData>
    <row r="1" spans="4:6" ht="25.5" customHeight="1">
      <c r="D1" s="134" t="s">
        <v>422</v>
      </c>
      <c r="E1" s="135"/>
      <c r="F1" s="135"/>
    </row>
    <row r="2" spans="4:6" ht="30" customHeight="1">
      <c r="D2" s="135"/>
      <c r="E2" s="135"/>
      <c r="F2" s="135"/>
    </row>
    <row r="3" spans="1:8" ht="28.5" customHeight="1">
      <c r="A3" s="139" t="s">
        <v>257</v>
      </c>
      <c r="B3" s="139"/>
      <c r="C3" s="139"/>
      <c r="D3" s="139"/>
      <c r="E3" s="139"/>
      <c r="F3" s="139"/>
      <c r="G3" s="139"/>
      <c r="H3" s="67"/>
    </row>
    <row r="4" spans="1:7" ht="16.5" customHeight="1">
      <c r="A4" s="136" t="s">
        <v>420</v>
      </c>
      <c r="B4" s="136"/>
      <c r="C4" s="136"/>
      <c r="D4" s="136"/>
      <c r="E4" s="137" t="s">
        <v>251</v>
      </c>
      <c r="F4" s="138"/>
      <c r="G4" s="50"/>
    </row>
    <row r="5" spans="1:9" ht="12.75" customHeight="1">
      <c r="A5" s="140" t="s">
        <v>0</v>
      </c>
      <c r="B5" s="140" t="s">
        <v>1</v>
      </c>
      <c r="C5" s="140"/>
      <c r="D5" s="140"/>
      <c r="E5" s="140"/>
      <c r="F5" s="132" t="s">
        <v>323</v>
      </c>
      <c r="G5" s="132" t="s">
        <v>200</v>
      </c>
      <c r="H5" s="35"/>
      <c r="I5" s="133"/>
    </row>
    <row r="6" spans="1:9" ht="35.25" customHeight="1">
      <c r="A6" s="140"/>
      <c r="B6" s="2" t="s">
        <v>4</v>
      </c>
      <c r="C6" s="3" t="s">
        <v>5</v>
      </c>
      <c r="D6" s="3" t="s">
        <v>6</v>
      </c>
      <c r="E6" s="3" t="s">
        <v>7</v>
      </c>
      <c r="F6" s="132"/>
      <c r="G6" s="132"/>
      <c r="H6" s="35"/>
      <c r="I6" s="133"/>
    </row>
    <row r="7" spans="1:9" ht="15">
      <c r="A7" s="5" t="s">
        <v>2</v>
      </c>
      <c r="B7" s="1"/>
      <c r="C7" s="1"/>
      <c r="D7" s="1"/>
      <c r="E7" s="1"/>
      <c r="F7" s="26"/>
      <c r="G7" s="26"/>
      <c r="H7" s="36"/>
      <c r="I7" s="37"/>
    </row>
    <row r="8" spans="1:9" ht="12.75">
      <c r="A8" s="5" t="s">
        <v>3</v>
      </c>
      <c r="B8" s="9" t="s">
        <v>9</v>
      </c>
      <c r="C8" s="9" t="s">
        <v>10</v>
      </c>
      <c r="D8" s="9" t="s">
        <v>8</v>
      </c>
      <c r="E8" s="9" t="s">
        <v>11</v>
      </c>
      <c r="F8" s="20">
        <f>F9+F12+F17+F26+F29</f>
        <v>43597936.78</v>
      </c>
      <c r="G8" s="20">
        <f>G9+G12+G17+G26+G29</f>
        <v>19217438.740000002</v>
      </c>
      <c r="H8" s="38"/>
      <c r="I8" s="39"/>
    </row>
    <row r="9" spans="1:9" ht="45">
      <c r="A9" s="6" t="s">
        <v>12</v>
      </c>
      <c r="B9" s="10" t="s">
        <v>9</v>
      </c>
      <c r="C9" s="10" t="s">
        <v>13</v>
      </c>
      <c r="D9" s="10" t="s">
        <v>8</v>
      </c>
      <c r="E9" s="10" t="s">
        <v>11</v>
      </c>
      <c r="F9" s="21">
        <f>F10</f>
        <v>1453297.14</v>
      </c>
      <c r="G9" s="21">
        <f>G10</f>
        <v>404558.41</v>
      </c>
      <c r="H9" s="40"/>
      <c r="I9" s="34"/>
    </row>
    <row r="10" spans="1:9" ht="12.75">
      <c r="A10" s="4" t="s">
        <v>16</v>
      </c>
      <c r="B10" s="11" t="s">
        <v>9</v>
      </c>
      <c r="C10" s="11" t="s">
        <v>13</v>
      </c>
      <c r="D10" s="11" t="s">
        <v>17</v>
      </c>
      <c r="E10" s="11" t="s">
        <v>11</v>
      </c>
      <c r="F10" s="19">
        <f>F11</f>
        <v>1453297.14</v>
      </c>
      <c r="G10" s="19">
        <f>G11</f>
        <v>404558.41</v>
      </c>
      <c r="H10" s="41"/>
      <c r="I10" s="31"/>
    </row>
    <row r="11" spans="1:9" ht="22.5">
      <c r="A11" s="4" t="s">
        <v>18</v>
      </c>
      <c r="B11" s="11" t="s">
        <v>9</v>
      </c>
      <c r="C11" s="11" t="s">
        <v>13</v>
      </c>
      <c r="D11" s="11" t="s">
        <v>17</v>
      </c>
      <c r="E11" s="11" t="s">
        <v>154</v>
      </c>
      <c r="F11" s="19">
        <v>1453297.14</v>
      </c>
      <c r="G11" s="19">
        <v>404558.41</v>
      </c>
      <c r="H11" s="41"/>
      <c r="I11" s="31"/>
    </row>
    <row r="12" spans="1:9" ht="54.75" customHeight="1">
      <c r="A12" s="6" t="s">
        <v>247</v>
      </c>
      <c r="B12" s="10" t="s">
        <v>9</v>
      </c>
      <c r="C12" s="10" t="s">
        <v>19</v>
      </c>
      <c r="D12" s="10" t="s">
        <v>8</v>
      </c>
      <c r="E12" s="10" t="s">
        <v>11</v>
      </c>
      <c r="F12" s="21">
        <f>F13+F15</f>
        <v>3506990</v>
      </c>
      <c r="G12" s="21">
        <f>G13+G15</f>
        <v>1365982.99</v>
      </c>
      <c r="H12" s="40"/>
      <c r="I12" s="34"/>
    </row>
    <row r="13" spans="1:9" ht="12.75">
      <c r="A13" s="4" t="s">
        <v>20</v>
      </c>
      <c r="B13" s="11" t="s">
        <v>9</v>
      </c>
      <c r="C13" s="11" t="s">
        <v>19</v>
      </c>
      <c r="D13" s="11" t="s">
        <v>21</v>
      </c>
      <c r="E13" s="11" t="s">
        <v>11</v>
      </c>
      <c r="F13" s="19">
        <f>F14</f>
        <v>2669790</v>
      </c>
      <c r="G13" s="19">
        <f>G14</f>
        <v>997403.2899999999</v>
      </c>
      <c r="H13" s="41"/>
      <c r="I13" s="31"/>
    </row>
    <row r="14" spans="1:9" ht="22.5">
      <c r="A14" s="4" t="s">
        <v>18</v>
      </c>
      <c r="B14" s="11" t="s">
        <v>22</v>
      </c>
      <c r="C14" s="11" t="s">
        <v>19</v>
      </c>
      <c r="D14" s="11" t="s">
        <v>21</v>
      </c>
      <c r="E14" s="11" t="s">
        <v>154</v>
      </c>
      <c r="F14" s="19">
        <v>2669790</v>
      </c>
      <c r="G14" s="19">
        <f>595749.15+9011.85+144041+28227.47+45157+63791.66+46400.21+1178.99+63845.96</f>
        <v>997403.2899999999</v>
      </c>
      <c r="H14" s="41"/>
      <c r="I14" s="31"/>
    </row>
    <row r="15" spans="1:9" ht="22.5">
      <c r="A15" s="4" t="s">
        <v>191</v>
      </c>
      <c r="B15" s="11" t="s">
        <v>9</v>
      </c>
      <c r="C15" s="11" t="s">
        <v>19</v>
      </c>
      <c r="D15" s="11" t="s">
        <v>155</v>
      </c>
      <c r="E15" s="11" t="s">
        <v>11</v>
      </c>
      <c r="F15" s="19">
        <f>F16</f>
        <v>837200</v>
      </c>
      <c r="G15" s="19">
        <f>G16</f>
        <v>368579.7</v>
      </c>
      <c r="H15" s="41"/>
      <c r="I15" s="31"/>
    </row>
    <row r="16" spans="1:9" ht="24.75" customHeight="1">
      <c r="A16" s="4" t="s">
        <v>18</v>
      </c>
      <c r="B16" s="11" t="s">
        <v>9</v>
      </c>
      <c r="C16" s="11" t="s">
        <v>19</v>
      </c>
      <c r="D16" s="11" t="s">
        <v>155</v>
      </c>
      <c r="E16" s="11" t="s">
        <v>154</v>
      </c>
      <c r="F16" s="19">
        <v>837200</v>
      </c>
      <c r="G16" s="19">
        <f>296862.7+71717</f>
        <v>368579.7</v>
      </c>
      <c r="H16" s="41"/>
      <c r="I16" s="31"/>
    </row>
    <row r="17" spans="1:9" ht="54" customHeight="1">
      <c r="A17" s="6" t="s">
        <v>24</v>
      </c>
      <c r="B17" s="10" t="s">
        <v>22</v>
      </c>
      <c r="C17" s="10" t="s">
        <v>25</v>
      </c>
      <c r="D17" s="10" t="s">
        <v>8</v>
      </c>
      <c r="E17" s="10" t="s">
        <v>11</v>
      </c>
      <c r="F17" s="21">
        <f>F18+F20+F22+F24</f>
        <v>26772550.89</v>
      </c>
      <c r="G17" s="21">
        <f>G18+G20+G22+G24</f>
        <v>12975456.94</v>
      </c>
      <c r="H17" s="40"/>
      <c r="I17" s="34"/>
    </row>
    <row r="18" spans="1:9" ht="12.75">
      <c r="A18" s="4" t="s">
        <v>20</v>
      </c>
      <c r="B18" s="11" t="s">
        <v>9</v>
      </c>
      <c r="C18" s="11" t="s">
        <v>25</v>
      </c>
      <c r="D18" s="11" t="s">
        <v>21</v>
      </c>
      <c r="E18" s="11" t="s">
        <v>11</v>
      </c>
      <c r="F18" s="19">
        <f>F19</f>
        <v>26258150.89</v>
      </c>
      <c r="G18" s="19">
        <f>G19</f>
        <v>12585830.290000001</v>
      </c>
      <c r="H18" s="41"/>
      <c r="I18" s="31"/>
    </row>
    <row r="19" spans="1:9" s="14" customFormat="1" ht="22.5">
      <c r="A19" s="28" t="s">
        <v>18</v>
      </c>
      <c r="B19" s="51" t="s">
        <v>9</v>
      </c>
      <c r="C19" s="51" t="s">
        <v>25</v>
      </c>
      <c r="D19" s="51" t="s">
        <v>21</v>
      </c>
      <c r="E19" s="51" t="s">
        <v>154</v>
      </c>
      <c r="F19" s="19">
        <v>26258150.89</v>
      </c>
      <c r="G19" s="19">
        <f>6971734.13+1646584.77+426114.01+318722.46+346485.45+1277259.48+881804.49+21910+695215.5</f>
        <v>12585830.290000001</v>
      </c>
      <c r="H19" s="41"/>
      <c r="I19" s="31"/>
    </row>
    <row r="20" spans="1:9" s="14" customFormat="1" ht="33.75">
      <c r="A20" s="28" t="s">
        <v>193</v>
      </c>
      <c r="B20" s="51" t="s">
        <v>9</v>
      </c>
      <c r="C20" s="51" t="s">
        <v>25</v>
      </c>
      <c r="D20" s="51" t="s">
        <v>333</v>
      </c>
      <c r="E20" s="51" t="s">
        <v>11</v>
      </c>
      <c r="F20" s="19">
        <f>F21</f>
        <v>228300</v>
      </c>
      <c r="G20" s="19">
        <f>G21</f>
        <v>154768.78</v>
      </c>
      <c r="H20" s="41"/>
      <c r="I20" s="31"/>
    </row>
    <row r="21" spans="1:9" s="14" customFormat="1" ht="23.25" customHeight="1">
      <c r="A21" s="28" t="s">
        <v>18</v>
      </c>
      <c r="B21" s="51" t="s">
        <v>9</v>
      </c>
      <c r="C21" s="51" t="s">
        <v>25</v>
      </c>
      <c r="D21" s="51" t="s">
        <v>333</v>
      </c>
      <c r="E21" s="51" t="s">
        <v>154</v>
      </c>
      <c r="F21" s="19">
        <v>228300</v>
      </c>
      <c r="G21" s="19">
        <f>124891.92+29876.86</f>
        <v>154768.78</v>
      </c>
      <c r="H21" s="41"/>
      <c r="I21" s="31"/>
    </row>
    <row r="22" spans="1:9" s="14" customFormat="1" ht="45">
      <c r="A22" s="28" t="s">
        <v>195</v>
      </c>
      <c r="B22" s="51" t="s">
        <v>9</v>
      </c>
      <c r="C22" s="51" t="s">
        <v>25</v>
      </c>
      <c r="D22" s="51" t="s">
        <v>334</v>
      </c>
      <c r="E22" s="51" t="s">
        <v>11</v>
      </c>
      <c r="F22" s="19">
        <f>F23</f>
        <v>241700</v>
      </c>
      <c r="G22" s="19">
        <f>G23</f>
        <v>202657.87</v>
      </c>
      <c r="H22" s="41"/>
      <c r="I22" s="31"/>
    </row>
    <row r="23" spans="1:9" s="14" customFormat="1" ht="23.25" customHeight="1">
      <c r="A23" s="28" t="s">
        <v>18</v>
      </c>
      <c r="B23" s="51" t="s">
        <v>9</v>
      </c>
      <c r="C23" s="51" t="s">
        <v>25</v>
      </c>
      <c r="D23" s="51" t="s">
        <v>334</v>
      </c>
      <c r="E23" s="51" t="s">
        <v>154</v>
      </c>
      <c r="F23" s="19">
        <f>230654.6+11045.4</f>
        <v>241700</v>
      </c>
      <c r="G23" s="19">
        <f>138810.27+63847.6</f>
        <v>202657.87</v>
      </c>
      <c r="H23" s="41"/>
      <c r="I23" s="31"/>
    </row>
    <row r="24" spans="1:9" s="14" customFormat="1" ht="56.25">
      <c r="A24" s="28" t="s">
        <v>381</v>
      </c>
      <c r="B24" s="51" t="s">
        <v>9</v>
      </c>
      <c r="C24" s="51" t="s">
        <v>25</v>
      </c>
      <c r="D24" s="51" t="s">
        <v>335</v>
      </c>
      <c r="E24" s="51" t="s">
        <v>11</v>
      </c>
      <c r="F24" s="19">
        <f>F25</f>
        <v>44400</v>
      </c>
      <c r="G24" s="19">
        <f>G25</f>
        <v>32200</v>
      </c>
      <c r="H24" s="41"/>
      <c r="I24" s="31"/>
    </row>
    <row r="25" spans="1:9" s="14" customFormat="1" ht="21" customHeight="1">
      <c r="A25" s="28" t="s">
        <v>18</v>
      </c>
      <c r="B25" s="51" t="s">
        <v>9</v>
      </c>
      <c r="C25" s="51" t="s">
        <v>25</v>
      </c>
      <c r="D25" s="51" t="s">
        <v>335</v>
      </c>
      <c r="E25" s="51" t="s">
        <v>154</v>
      </c>
      <c r="F25" s="19">
        <v>44400</v>
      </c>
      <c r="G25" s="19">
        <v>32200</v>
      </c>
      <c r="H25" s="41"/>
      <c r="I25" s="31"/>
    </row>
    <row r="26" spans="1:9" ht="56.25">
      <c r="A26" s="6" t="s">
        <v>30</v>
      </c>
      <c r="B26" s="10" t="s">
        <v>9</v>
      </c>
      <c r="C26" s="10" t="s">
        <v>31</v>
      </c>
      <c r="D26" s="10" t="s">
        <v>8</v>
      </c>
      <c r="E26" s="10" t="s">
        <v>11</v>
      </c>
      <c r="F26" s="21">
        <f>F27</f>
        <v>10446603.04</v>
      </c>
      <c r="G26" s="21">
        <f>G27</f>
        <v>3888581.05</v>
      </c>
      <c r="H26" s="40"/>
      <c r="I26" s="34"/>
    </row>
    <row r="27" spans="1:9" ht="38.25" customHeight="1">
      <c r="A27" s="4" t="s">
        <v>382</v>
      </c>
      <c r="B27" s="11" t="s">
        <v>9</v>
      </c>
      <c r="C27" s="11" t="s">
        <v>31</v>
      </c>
      <c r="D27" s="11" t="s">
        <v>336</v>
      </c>
      <c r="E27" s="11" t="s">
        <v>11</v>
      </c>
      <c r="F27" s="19">
        <f>F28</f>
        <v>10446603.04</v>
      </c>
      <c r="G27" s="19">
        <f>G28</f>
        <v>3888581.05</v>
      </c>
      <c r="H27" s="41"/>
      <c r="I27" s="31"/>
    </row>
    <row r="28" spans="1:9" ht="22.5">
      <c r="A28" s="4" t="s">
        <v>18</v>
      </c>
      <c r="B28" s="11" t="s">
        <v>9</v>
      </c>
      <c r="C28" s="11" t="s">
        <v>31</v>
      </c>
      <c r="D28" s="11" t="s">
        <v>336</v>
      </c>
      <c r="E28" s="11" t="s">
        <v>154</v>
      </c>
      <c r="F28" s="19">
        <v>10446603.04</v>
      </c>
      <c r="G28" s="19">
        <v>3888581.05</v>
      </c>
      <c r="H28" s="41"/>
      <c r="I28" s="31"/>
    </row>
    <row r="29" spans="1:9" ht="22.5">
      <c r="A29" s="6" t="s">
        <v>34</v>
      </c>
      <c r="B29" s="10" t="s">
        <v>9</v>
      </c>
      <c r="C29" s="10" t="s">
        <v>35</v>
      </c>
      <c r="D29" s="10" t="s">
        <v>8</v>
      </c>
      <c r="E29" s="10" t="s">
        <v>11</v>
      </c>
      <c r="F29" s="21">
        <f>F30</f>
        <v>1418495.71</v>
      </c>
      <c r="G29" s="21">
        <f>G30</f>
        <v>582859.35</v>
      </c>
      <c r="H29" s="40"/>
      <c r="I29" s="34"/>
    </row>
    <row r="30" spans="1:9" ht="22.5">
      <c r="A30" s="4" t="s">
        <v>36</v>
      </c>
      <c r="B30" s="11" t="s">
        <v>9</v>
      </c>
      <c r="C30" s="11" t="s">
        <v>35</v>
      </c>
      <c r="D30" s="11" t="s">
        <v>37</v>
      </c>
      <c r="E30" s="11" t="s">
        <v>11</v>
      </c>
      <c r="F30" s="19">
        <f>F31</f>
        <v>1418495.71</v>
      </c>
      <c r="G30" s="19">
        <f>G31</f>
        <v>582859.35</v>
      </c>
      <c r="H30" s="41"/>
      <c r="I30" s="31"/>
    </row>
    <row r="31" spans="1:9" ht="22.5">
      <c r="A31" s="4" t="s">
        <v>18</v>
      </c>
      <c r="B31" s="11" t="s">
        <v>9</v>
      </c>
      <c r="C31" s="11" t="s">
        <v>35</v>
      </c>
      <c r="D31" s="11" t="s">
        <v>37</v>
      </c>
      <c r="E31" s="11" t="s">
        <v>154</v>
      </c>
      <c r="F31" s="19">
        <f>1294295.71+124199.98+0.02</f>
        <v>1418495.71</v>
      </c>
      <c r="G31" s="19">
        <v>582859.35</v>
      </c>
      <c r="H31" s="41"/>
      <c r="I31" s="31"/>
    </row>
    <row r="32" spans="1:9" ht="25.5" customHeight="1">
      <c r="A32" s="7" t="s">
        <v>40</v>
      </c>
      <c r="B32" s="9" t="s">
        <v>19</v>
      </c>
      <c r="C32" s="9" t="s">
        <v>10</v>
      </c>
      <c r="D32" s="9" t="s">
        <v>33</v>
      </c>
      <c r="E32" s="9" t="s">
        <v>11</v>
      </c>
      <c r="F32" s="24">
        <f>F33+F46</f>
        <v>33041622.580000002</v>
      </c>
      <c r="G32" s="24">
        <f>G33+G46</f>
        <v>22875169.04</v>
      </c>
      <c r="H32" s="38"/>
      <c r="I32" s="39"/>
    </row>
    <row r="33" spans="1:9" ht="14.25" customHeight="1">
      <c r="A33" s="6" t="s">
        <v>41</v>
      </c>
      <c r="B33" s="10" t="s">
        <v>19</v>
      </c>
      <c r="C33" s="10" t="s">
        <v>13</v>
      </c>
      <c r="D33" s="10" t="s">
        <v>8</v>
      </c>
      <c r="E33" s="10" t="s">
        <v>11</v>
      </c>
      <c r="F33" s="21">
        <f>F34+F36+F38+F40+F42+F44</f>
        <v>16066408.32</v>
      </c>
      <c r="G33" s="21">
        <f>G34+G36+G38+G40+G42+G44</f>
        <v>6274954.779999999</v>
      </c>
      <c r="H33" s="40"/>
      <c r="I33" s="34"/>
    </row>
    <row r="34" spans="1:9" ht="80.25" customHeight="1">
      <c r="A34" s="4" t="s">
        <v>42</v>
      </c>
      <c r="B34" s="11" t="s">
        <v>19</v>
      </c>
      <c r="C34" s="11" t="s">
        <v>13</v>
      </c>
      <c r="D34" s="11" t="s">
        <v>43</v>
      </c>
      <c r="E34" s="11" t="s">
        <v>11</v>
      </c>
      <c r="F34" s="19">
        <f>F35</f>
        <v>3239000</v>
      </c>
      <c r="G34" s="19">
        <f>G35</f>
        <v>1592000</v>
      </c>
      <c r="H34" s="41"/>
      <c r="I34" s="31"/>
    </row>
    <row r="35" spans="1:9" ht="45">
      <c r="A35" s="4" t="s">
        <v>44</v>
      </c>
      <c r="B35" s="11" t="s">
        <v>19</v>
      </c>
      <c r="C35" s="11" t="s">
        <v>13</v>
      </c>
      <c r="D35" s="11" t="s">
        <v>43</v>
      </c>
      <c r="E35" s="11" t="s">
        <v>45</v>
      </c>
      <c r="F35" s="19">
        <v>3239000</v>
      </c>
      <c r="G35" s="19">
        <f>1378450+144000+49300+20250</f>
        <v>1592000</v>
      </c>
      <c r="H35" s="41"/>
      <c r="I35" s="31"/>
    </row>
    <row r="36" spans="1:9" ht="12.75">
      <c r="A36" s="4" t="s">
        <v>46</v>
      </c>
      <c r="B36" s="11" t="s">
        <v>19</v>
      </c>
      <c r="C36" s="11" t="s">
        <v>13</v>
      </c>
      <c r="D36" s="11" t="s">
        <v>47</v>
      </c>
      <c r="E36" s="11" t="s">
        <v>11</v>
      </c>
      <c r="F36" s="19">
        <f>F37</f>
        <v>8973025</v>
      </c>
      <c r="G36" s="19">
        <f>G37</f>
        <v>3442500</v>
      </c>
      <c r="H36" s="41"/>
      <c r="I36" s="31"/>
    </row>
    <row r="37" spans="1:9" ht="45">
      <c r="A37" s="4" t="s">
        <v>44</v>
      </c>
      <c r="B37" s="11" t="s">
        <v>19</v>
      </c>
      <c r="C37" s="11" t="s">
        <v>13</v>
      </c>
      <c r="D37" s="11" t="s">
        <v>47</v>
      </c>
      <c r="E37" s="11" t="s">
        <v>45</v>
      </c>
      <c r="F37" s="19">
        <v>8973025</v>
      </c>
      <c r="G37" s="19">
        <f>3440000+2500</f>
        <v>3442500</v>
      </c>
      <c r="H37" s="41"/>
      <c r="I37" s="31"/>
    </row>
    <row r="38" spans="1:9" ht="33" customHeight="1">
      <c r="A38" s="4" t="s">
        <v>159</v>
      </c>
      <c r="B38" s="11" t="s">
        <v>19</v>
      </c>
      <c r="C38" s="11" t="s">
        <v>13</v>
      </c>
      <c r="D38" s="11" t="s">
        <v>156</v>
      </c>
      <c r="E38" s="11" t="s">
        <v>11</v>
      </c>
      <c r="F38" s="19">
        <f>F39</f>
        <v>2552025</v>
      </c>
      <c r="G38" s="19">
        <f>G39</f>
        <v>844831.55</v>
      </c>
      <c r="H38" s="41"/>
      <c r="I38" s="31"/>
    </row>
    <row r="39" spans="1:9" ht="45">
      <c r="A39" s="4" t="s">
        <v>44</v>
      </c>
      <c r="B39" s="11" t="s">
        <v>19</v>
      </c>
      <c r="C39" s="11" t="s">
        <v>13</v>
      </c>
      <c r="D39" s="11" t="s">
        <v>156</v>
      </c>
      <c r="E39" s="11" t="s">
        <v>45</v>
      </c>
      <c r="F39" s="19">
        <v>2552025</v>
      </c>
      <c r="G39" s="19">
        <f>130367.5+25000+34126.25+75000+485+80600+59252.8+440000</f>
        <v>844831.55</v>
      </c>
      <c r="H39" s="41"/>
      <c r="I39" s="31"/>
    </row>
    <row r="40" spans="1:9" s="14" customFormat="1" ht="36" customHeight="1">
      <c r="A40" s="28" t="s">
        <v>326</v>
      </c>
      <c r="B40" s="51" t="s">
        <v>19</v>
      </c>
      <c r="C40" s="51" t="s">
        <v>13</v>
      </c>
      <c r="D40" s="51" t="s">
        <v>318</v>
      </c>
      <c r="E40" s="51" t="s">
        <v>11</v>
      </c>
      <c r="F40" s="19">
        <f>F41</f>
        <v>277500</v>
      </c>
      <c r="G40" s="19">
        <f>G41</f>
        <v>38000</v>
      </c>
      <c r="H40" s="41"/>
      <c r="I40" s="31"/>
    </row>
    <row r="41" spans="1:9" s="14" customFormat="1" ht="45">
      <c r="A41" s="28" t="s">
        <v>44</v>
      </c>
      <c r="B41" s="51" t="s">
        <v>19</v>
      </c>
      <c r="C41" s="51" t="s">
        <v>13</v>
      </c>
      <c r="D41" s="51" t="s">
        <v>318</v>
      </c>
      <c r="E41" s="51" t="s">
        <v>45</v>
      </c>
      <c r="F41" s="19">
        <v>277500</v>
      </c>
      <c r="G41" s="19">
        <f>38000</f>
        <v>38000</v>
      </c>
      <c r="H41" s="41"/>
      <c r="I41" s="31"/>
    </row>
    <row r="42" spans="1:9" s="14" customFormat="1" ht="24" customHeight="1">
      <c r="A42" s="28" t="s">
        <v>327</v>
      </c>
      <c r="B42" s="51" t="s">
        <v>19</v>
      </c>
      <c r="C42" s="51" t="s">
        <v>13</v>
      </c>
      <c r="D42" s="51" t="s">
        <v>319</v>
      </c>
      <c r="E42" s="51" t="s">
        <v>11</v>
      </c>
      <c r="F42" s="19">
        <f>F43</f>
        <v>300000</v>
      </c>
      <c r="G42" s="19">
        <f>G43</f>
        <v>32678.39</v>
      </c>
      <c r="H42" s="41"/>
      <c r="I42" s="31"/>
    </row>
    <row r="43" spans="1:9" ht="45">
      <c r="A43" s="4" t="s">
        <v>44</v>
      </c>
      <c r="B43" s="11" t="s">
        <v>19</v>
      </c>
      <c r="C43" s="11" t="s">
        <v>13</v>
      </c>
      <c r="D43" s="11" t="s">
        <v>319</v>
      </c>
      <c r="E43" s="11" t="s">
        <v>45</v>
      </c>
      <c r="F43" s="19">
        <v>300000</v>
      </c>
      <c r="G43" s="19">
        <f>24686.13+7992.26</f>
        <v>32678.39</v>
      </c>
      <c r="H43" s="41"/>
      <c r="I43" s="31"/>
    </row>
    <row r="44" spans="1:9" ht="46.5" customHeight="1">
      <c r="A44" s="4" t="s">
        <v>158</v>
      </c>
      <c r="B44" s="11" t="s">
        <v>19</v>
      </c>
      <c r="C44" s="11" t="s">
        <v>13</v>
      </c>
      <c r="D44" s="11" t="s">
        <v>157</v>
      </c>
      <c r="E44" s="11" t="s">
        <v>11</v>
      </c>
      <c r="F44" s="19">
        <f>F45</f>
        <v>724858.32</v>
      </c>
      <c r="G44" s="19">
        <f>G45</f>
        <v>324944.84</v>
      </c>
      <c r="H44" s="41"/>
      <c r="I44" s="31"/>
    </row>
    <row r="45" spans="1:9" ht="12.75">
      <c r="A45" s="4" t="s">
        <v>48</v>
      </c>
      <c r="B45" s="11" t="s">
        <v>19</v>
      </c>
      <c r="C45" s="11" t="s">
        <v>13</v>
      </c>
      <c r="D45" s="11" t="s">
        <v>157</v>
      </c>
      <c r="E45" s="11" t="s">
        <v>49</v>
      </c>
      <c r="F45" s="19">
        <v>724858.32</v>
      </c>
      <c r="G45" s="19">
        <f>156778.44+57996+110170+0.4</f>
        <v>324944.84</v>
      </c>
      <c r="H45" s="41"/>
      <c r="I45" s="31"/>
    </row>
    <row r="46" spans="1:9" ht="44.25" customHeight="1">
      <c r="A46" s="6" t="s">
        <v>127</v>
      </c>
      <c r="B46" s="10" t="s">
        <v>19</v>
      </c>
      <c r="C46" s="10" t="s">
        <v>72</v>
      </c>
      <c r="D46" s="10" t="s">
        <v>8</v>
      </c>
      <c r="E46" s="10" t="s">
        <v>11</v>
      </c>
      <c r="F46" s="21">
        <f>F47</f>
        <v>16975214.26</v>
      </c>
      <c r="G46" s="21">
        <f>G47</f>
        <v>16600214.26</v>
      </c>
      <c r="H46" s="40"/>
      <c r="I46" s="34"/>
    </row>
    <row r="47" spans="1:9" ht="44.25" customHeight="1">
      <c r="A47" s="4" t="s">
        <v>128</v>
      </c>
      <c r="B47" s="11" t="s">
        <v>19</v>
      </c>
      <c r="C47" s="11" t="s">
        <v>72</v>
      </c>
      <c r="D47" s="11" t="s">
        <v>320</v>
      </c>
      <c r="E47" s="11" t="s">
        <v>11</v>
      </c>
      <c r="F47" s="19">
        <f>F48</f>
        <v>16975214.26</v>
      </c>
      <c r="G47" s="19">
        <f>G48</f>
        <v>16600214.26</v>
      </c>
      <c r="H47" s="41"/>
      <c r="I47" s="31"/>
    </row>
    <row r="48" spans="1:9" ht="22.5">
      <c r="A48" s="4" t="s">
        <v>18</v>
      </c>
      <c r="B48" s="11" t="s">
        <v>19</v>
      </c>
      <c r="C48" s="11" t="s">
        <v>72</v>
      </c>
      <c r="D48" s="11" t="s">
        <v>320</v>
      </c>
      <c r="E48" s="11" t="s">
        <v>154</v>
      </c>
      <c r="F48" s="19">
        <v>16975214.26</v>
      </c>
      <c r="G48" s="19">
        <v>16600214.26</v>
      </c>
      <c r="H48" s="41"/>
      <c r="I48" s="31"/>
    </row>
    <row r="49" spans="1:9" ht="12.75">
      <c r="A49" s="7" t="s">
        <v>52</v>
      </c>
      <c r="B49" s="9" t="s">
        <v>25</v>
      </c>
      <c r="C49" s="9" t="s">
        <v>10</v>
      </c>
      <c r="D49" s="9" t="s">
        <v>8</v>
      </c>
      <c r="E49" s="9" t="s">
        <v>11</v>
      </c>
      <c r="F49" s="24">
        <f>F50+F55+F60</f>
        <v>6313006.73</v>
      </c>
      <c r="G49" s="24">
        <f>G50+G55+G60</f>
        <v>3946737.67</v>
      </c>
      <c r="H49" s="38"/>
      <c r="I49" s="39"/>
    </row>
    <row r="50" spans="1:9" ht="12.75">
      <c r="A50" s="6" t="s">
        <v>53</v>
      </c>
      <c r="B50" s="10" t="s">
        <v>25</v>
      </c>
      <c r="C50" s="10" t="s">
        <v>27</v>
      </c>
      <c r="D50" s="10" t="s">
        <v>8</v>
      </c>
      <c r="E50" s="10" t="s">
        <v>11</v>
      </c>
      <c r="F50" s="21">
        <f>F53+F52</f>
        <v>3135522</v>
      </c>
      <c r="G50" s="21">
        <f>G53+G52</f>
        <v>2031669.1199999999</v>
      </c>
      <c r="H50" s="40"/>
      <c r="I50" s="34"/>
    </row>
    <row r="51" spans="1:9" s="14" customFormat="1" ht="33.75">
      <c r="A51" s="28" t="s">
        <v>421</v>
      </c>
      <c r="B51" s="57" t="s">
        <v>25</v>
      </c>
      <c r="C51" s="57" t="s">
        <v>27</v>
      </c>
      <c r="D51" s="51" t="s">
        <v>337</v>
      </c>
      <c r="E51" s="57" t="s">
        <v>11</v>
      </c>
      <c r="F51" s="27">
        <f>F52</f>
        <v>354522</v>
      </c>
      <c r="G51" s="27">
        <f>G52</f>
        <v>342671</v>
      </c>
      <c r="H51" s="40"/>
      <c r="I51" s="34"/>
    </row>
    <row r="52" spans="1:9" s="14" customFormat="1" ht="22.5">
      <c r="A52" s="28" t="s">
        <v>18</v>
      </c>
      <c r="B52" s="15" t="s">
        <v>25</v>
      </c>
      <c r="C52" s="15" t="s">
        <v>27</v>
      </c>
      <c r="D52" s="51" t="s">
        <v>337</v>
      </c>
      <c r="E52" s="51" t="s">
        <v>154</v>
      </c>
      <c r="F52" s="27">
        <v>354522</v>
      </c>
      <c r="G52" s="27">
        <f>36331+8500+113802+26370+157668</f>
        <v>342671</v>
      </c>
      <c r="H52" s="40"/>
      <c r="I52" s="34"/>
    </row>
    <row r="53" spans="1:9" s="14" customFormat="1" ht="45">
      <c r="A53" s="28" t="s">
        <v>160</v>
      </c>
      <c r="B53" s="51" t="s">
        <v>25</v>
      </c>
      <c r="C53" s="51" t="s">
        <v>27</v>
      </c>
      <c r="D53" s="51" t="s">
        <v>338</v>
      </c>
      <c r="E53" s="51" t="s">
        <v>11</v>
      </c>
      <c r="F53" s="19">
        <f>F54</f>
        <v>2781000</v>
      </c>
      <c r="G53" s="19">
        <f>G54</f>
        <v>1688998.1199999999</v>
      </c>
      <c r="H53" s="41"/>
      <c r="I53" s="31"/>
    </row>
    <row r="54" spans="1:9" s="14" customFormat="1" ht="22.5">
      <c r="A54" s="28" t="s">
        <v>18</v>
      </c>
      <c r="B54" s="51" t="s">
        <v>25</v>
      </c>
      <c r="C54" s="51" t="s">
        <v>27</v>
      </c>
      <c r="D54" s="51" t="s">
        <v>338</v>
      </c>
      <c r="E54" s="51" t="s">
        <v>154</v>
      </c>
      <c r="F54" s="19">
        <v>2781000</v>
      </c>
      <c r="G54" s="19">
        <f>1202532.48+285077.53+37928.72+48179.93+65743.79+11590.7+9181.06+28763.91</f>
        <v>1688998.1199999999</v>
      </c>
      <c r="H54" s="41"/>
      <c r="I54" s="31"/>
    </row>
    <row r="55" spans="1:9" ht="12.75">
      <c r="A55" s="6" t="s">
        <v>214</v>
      </c>
      <c r="B55" s="10" t="s">
        <v>25</v>
      </c>
      <c r="C55" s="10" t="s">
        <v>72</v>
      </c>
      <c r="D55" s="10" t="s">
        <v>8</v>
      </c>
      <c r="E55" s="10" t="s">
        <v>213</v>
      </c>
      <c r="F55" s="21">
        <f>F58+F56</f>
        <v>1772610.24</v>
      </c>
      <c r="G55" s="21">
        <f>G58+G56</f>
        <v>1772610.24</v>
      </c>
      <c r="H55" s="40"/>
      <c r="I55" s="34"/>
    </row>
    <row r="56" spans="1:9" ht="45">
      <c r="A56" s="4" t="s">
        <v>228</v>
      </c>
      <c r="B56" s="13" t="s">
        <v>25</v>
      </c>
      <c r="C56" s="13" t="s">
        <v>72</v>
      </c>
      <c r="D56" s="13" t="s">
        <v>248</v>
      </c>
      <c r="E56" s="13" t="s">
        <v>11</v>
      </c>
      <c r="F56" s="27">
        <f>F57</f>
        <v>1570000</v>
      </c>
      <c r="G56" s="27">
        <f>G57</f>
        <v>1570000</v>
      </c>
      <c r="H56" s="40"/>
      <c r="I56" s="34"/>
    </row>
    <row r="57" spans="1:9" ht="12.75">
      <c r="A57" s="4" t="s">
        <v>219</v>
      </c>
      <c r="B57" s="13" t="s">
        <v>25</v>
      </c>
      <c r="C57" s="13" t="s">
        <v>72</v>
      </c>
      <c r="D57" s="13" t="s">
        <v>248</v>
      </c>
      <c r="E57" s="13" t="s">
        <v>203</v>
      </c>
      <c r="F57" s="27">
        <v>1570000</v>
      </c>
      <c r="G57" s="27">
        <v>1570000</v>
      </c>
      <c r="H57" s="40"/>
      <c r="I57" s="34"/>
    </row>
    <row r="58" spans="1:9" ht="22.5">
      <c r="A58" s="4" t="s">
        <v>293</v>
      </c>
      <c r="B58" s="11" t="s">
        <v>25</v>
      </c>
      <c r="C58" s="11" t="s">
        <v>72</v>
      </c>
      <c r="D58" s="11" t="s">
        <v>266</v>
      </c>
      <c r="E58" s="11" t="s">
        <v>11</v>
      </c>
      <c r="F58" s="19">
        <f>F59</f>
        <v>202610.24</v>
      </c>
      <c r="G58" s="19">
        <f>G59</f>
        <v>202610.24</v>
      </c>
      <c r="H58" s="41"/>
      <c r="I58" s="60"/>
    </row>
    <row r="59" spans="1:9" ht="56.25">
      <c r="A59" s="4" t="s">
        <v>268</v>
      </c>
      <c r="B59" s="11" t="s">
        <v>25</v>
      </c>
      <c r="C59" s="11" t="s">
        <v>72</v>
      </c>
      <c r="D59" s="11" t="s">
        <v>266</v>
      </c>
      <c r="E59" s="11" t="s">
        <v>267</v>
      </c>
      <c r="F59" s="19">
        <v>202610.24</v>
      </c>
      <c r="G59" s="19">
        <v>202610.24</v>
      </c>
      <c r="H59" s="41"/>
      <c r="I59" s="31"/>
    </row>
    <row r="60" spans="1:9" ht="24" customHeight="1">
      <c r="A60" s="6" t="s">
        <v>142</v>
      </c>
      <c r="B60" s="10" t="s">
        <v>25</v>
      </c>
      <c r="C60" s="10" t="s">
        <v>32</v>
      </c>
      <c r="D60" s="10" t="s">
        <v>33</v>
      </c>
      <c r="E60" s="10" t="s">
        <v>11</v>
      </c>
      <c r="F60" s="21">
        <f>F61+F63</f>
        <v>1404874.49</v>
      </c>
      <c r="G60" s="21">
        <f>G61+G63</f>
        <v>142458.31</v>
      </c>
      <c r="H60" s="40"/>
      <c r="I60" s="34"/>
    </row>
    <row r="61" spans="1:9" ht="22.5">
      <c r="A61" s="4" t="s">
        <v>143</v>
      </c>
      <c r="B61" s="11" t="s">
        <v>25</v>
      </c>
      <c r="C61" s="11" t="s">
        <v>32</v>
      </c>
      <c r="D61" s="11" t="s">
        <v>269</v>
      </c>
      <c r="E61" s="11" t="s">
        <v>11</v>
      </c>
      <c r="F61" s="19">
        <f>F62</f>
        <v>1204874.49</v>
      </c>
      <c r="G61" s="19">
        <f>G62</f>
        <v>142458.31</v>
      </c>
      <c r="H61" s="41"/>
      <c r="I61" s="31"/>
    </row>
    <row r="62" spans="1:9" ht="22.5">
      <c r="A62" s="4" t="s">
        <v>18</v>
      </c>
      <c r="B62" s="11" t="s">
        <v>25</v>
      </c>
      <c r="C62" s="11" t="s">
        <v>32</v>
      </c>
      <c r="D62" s="11" t="s">
        <v>269</v>
      </c>
      <c r="E62" s="11" t="s">
        <v>154</v>
      </c>
      <c r="F62" s="19">
        <v>1204874.49</v>
      </c>
      <c r="G62" s="19">
        <f>36410+106048.31</f>
        <v>142458.31</v>
      </c>
      <c r="H62" s="41"/>
      <c r="I62" s="31"/>
    </row>
    <row r="63" spans="1:9" ht="22.5">
      <c r="A63" s="4" t="s">
        <v>58</v>
      </c>
      <c r="B63" s="11" t="s">
        <v>25</v>
      </c>
      <c r="C63" s="11" t="s">
        <v>32</v>
      </c>
      <c r="D63" s="11" t="s">
        <v>141</v>
      </c>
      <c r="E63" s="11" t="s">
        <v>11</v>
      </c>
      <c r="F63" s="17">
        <f>F64</f>
        <v>200000</v>
      </c>
      <c r="G63" s="17">
        <f>G64</f>
        <v>0</v>
      </c>
      <c r="H63" s="41"/>
      <c r="I63" s="31"/>
    </row>
    <row r="64" spans="1:9" ht="22.5">
      <c r="A64" s="4" t="s">
        <v>18</v>
      </c>
      <c r="B64" s="11" t="s">
        <v>25</v>
      </c>
      <c r="C64" s="11" t="s">
        <v>32</v>
      </c>
      <c r="D64" s="11" t="s">
        <v>152</v>
      </c>
      <c r="E64" s="11" t="s">
        <v>154</v>
      </c>
      <c r="F64" s="17">
        <v>200000</v>
      </c>
      <c r="G64" s="17"/>
      <c r="H64" s="41"/>
      <c r="I64" s="31"/>
    </row>
    <row r="65" spans="1:9" s="16" customFormat="1" ht="13.5" customHeight="1">
      <c r="A65" s="7" t="s">
        <v>215</v>
      </c>
      <c r="B65" s="9" t="s">
        <v>27</v>
      </c>
      <c r="C65" s="9" t="s">
        <v>10</v>
      </c>
      <c r="D65" s="9" t="s">
        <v>33</v>
      </c>
      <c r="E65" s="9" t="s">
        <v>11</v>
      </c>
      <c r="F65" s="24">
        <f>F66+F73+F76+F83</f>
        <v>129276705.41999999</v>
      </c>
      <c r="G65" s="24">
        <f>G66+G73+G76+G83</f>
        <v>126517017.58000001</v>
      </c>
      <c r="H65" s="38"/>
      <c r="I65" s="39"/>
    </row>
    <row r="66" spans="1:9" ht="12.75">
      <c r="A66" s="6" t="s">
        <v>216</v>
      </c>
      <c r="B66" s="10" t="s">
        <v>27</v>
      </c>
      <c r="C66" s="10" t="s">
        <v>9</v>
      </c>
      <c r="D66" s="10" t="s">
        <v>8</v>
      </c>
      <c r="E66" s="10" t="s">
        <v>11</v>
      </c>
      <c r="F66" s="21">
        <f>F67+F69+F71</f>
        <v>58796607.95</v>
      </c>
      <c r="G66" s="21">
        <f>G67+G69+G71</f>
        <v>57760897.95</v>
      </c>
      <c r="H66" s="40"/>
      <c r="I66" s="34"/>
    </row>
    <row r="67" spans="1:9" ht="69" customHeight="1">
      <c r="A67" s="28" t="s">
        <v>383</v>
      </c>
      <c r="B67" s="15" t="s">
        <v>27</v>
      </c>
      <c r="C67" s="15" t="s">
        <v>9</v>
      </c>
      <c r="D67" s="15" t="s">
        <v>296</v>
      </c>
      <c r="E67" s="15" t="s">
        <v>11</v>
      </c>
      <c r="F67" s="27">
        <f>F68</f>
        <v>52853510.38</v>
      </c>
      <c r="G67" s="27">
        <f>G68</f>
        <v>51912552.38</v>
      </c>
      <c r="H67" s="32"/>
      <c r="I67" s="33"/>
    </row>
    <row r="68" spans="1:9" ht="12.75">
      <c r="A68" s="4" t="s">
        <v>56</v>
      </c>
      <c r="B68" s="15" t="s">
        <v>27</v>
      </c>
      <c r="C68" s="15" t="s">
        <v>9</v>
      </c>
      <c r="D68" s="15" t="s">
        <v>296</v>
      </c>
      <c r="E68" s="15" t="s">
        <v>57</v>
      </c>
      <c r="F68" s="27">
        <v>52853510.38</v>
      </c>
      <c r="G68" s="27">
        <f>22111204.37+29801348.01</f>
        <v>51912552.38</v>
      </c>
      <c r="H68" s="32"/>
      <c r="I68" s="33"/>
    </row>
    <row r="69" spans="1:9" ht="44.25" customHeight="1">
      <c r="A69" s="4" t="s">
        <v>291</v>
      </c>
      <c r="B69" s="15" t="s">
        <v>27</v>
      </c>
      <c r="C69" s="15" t="s">
        <v>9</v>
      </c>
      <c r="D69" s="15" t="s">
        <v>290</v>
      </c>
      <c r="E69" s="15" t="s">
        <v>11</v>
      </c>
      <c r="F69" s="27">
        <f>F70</f>
        <v>729097.57</v>
      </c>
      <c r="G69" s="27">
        <f>G70</f>
        <v>729097.5700000001</v>
      </c>
      <c r="H69" s="32"/>
      <c r="I69" s="33"/>
    </row>
    <row r="70" spans="1:9" ht="12.75">
      <c r="A70" s="4" t="s">
        <v>56</v>
      </c>
      <c r="B70" s="15" t="s">
        <v>27</v>
      </c>
      <c r="C70" s="15" t="s">
        <v>9</v>
      </c>
      <c r="D70" s="15" t="s">
        <v>290</v>
      </c>
      <c r="E70" s="15" t="s">
        <v>57</v>
      </c>
      <c r="F70" s="27">
        <v>729097.57</v>
      </c>
      <c r="G70" s="27">
        <f>377881.37+351216.2</f>
        <v>729097.5700000001</v>
      </c>
      <c r="H70" s="32"/>
      <c r="I70" s="33"/>
    </row>
    <row r="71" spans="1:9" s="14" customFormat="1" ht="45">
      <c r="A71" s="28" t="s">
        <v>291</v>
      </c>
      <c r="B71" s="51" t="s">
        <v>27</v>
      </c>
      <c r="C71" s="51" t="s">
        <v>9</v>
      </c>
      <c r="D71" s="15" t="s">
        <v>290</v>
      </c>
      <c r="E71" s="51" t="s">
        <v>11</v>
      </c>
      <c r="F71" s="19">
        <f>F72</f>
        <v>5214000</v>
      </c>
      <c r="G71" s="19">
        <f>G72</f>
        <v>5119248</v>
      </c>
      <c r="H71" s="41"/>
      <c r="I71" s="31"/>
    </row>
    <row r="72" spans="1:9" s="48" customFormat="1" ht="33.75">
      <c r="A72" s="28" t="s">
        <v>316</v>
      </c>
      <c r="B72" s="29" t="s">
        <v>27</v>
      </c>
      <c r="C72" s="29" t="s">
        <v>9</v>
      </c>
      <c r="D72" s="15" t="s">
        <v>290</v>
      </c>
      <c r="E72" s="51" t="s">
        <v>165</v>
      </c>
      <c r="F72" s="25">
        <v>5214000</v>
      </c>
      <c r="G72" s="25">
        <f>2180535+2938713</f>
        <v>5119248</v>
      </c>
      <c r="H72" s="46"/>
      <c r="I72" s="47"/>
    </row>
    <row r="73" spans="1:9" ht="12.75">
      <c r="A73" s="6" t="s">
        <v>222</v>
      </c>
      <c r="B73" s="10" t="s">
        <v>27</v>
      </c>
      <c r="C73" s="10" t="s">
        <v>13</v>
      </c>
      <c r="D73" s="10" t="s">
        <v>8</v>
      </c>
      <c r="E73" s="10" t="s">
        <v>11</v>
      </c>
      <c r="F73" s="21">
        <f>F74</f>
        <v>518754.58</v>
      </c>
      <c r="G73" s="21">
        <f>G74</f>
        <v>518754.58</v>
      </c>
      <c r="H73" s="40"/>
      <c r="I73" s="34"/>
    </row>
    <row r="74" spans="1:9" ht="21.75" customHeight="1">
      <c r="A74" s="4" t="s">
        <v>223</v>
      </c>
      <c r="B74" s="11" t="s">
        <v>27</v>
      </c>
      <c r="C74" s="11" t="s">
        <v>13</v>
      </c>
      <c r="D74" s="11" t="s">
        <v>314</v>
      </c>
      <c r="E74" s="11" t="s">
        <v>11</v>
      </c>
      <c r="F74" s="19">
        <f>F75</f>
        <v>518754.58</v>
      </c>
      <c r="G74" s="19">
        <f>G75</f>
        <v>518754.58</v>
      </c>
      <c r="H74" s="41"/>
      <c r="I74" s="31"/>
    </row>
    <row r="75" spans="1:9" ht="21.75" customHeight="1">
      <c r="A75" s="4" t="s">
        <v>18</v>
      </c>
      <c r="B75" s="11" t="s">
        <v>201</v>
      </c>
      <c r="C75" s="11" t="s">
        <v>13</v>
      </c>
      <c r="D75" s="11" t="s">
        <v>314</v>
      </c>
      <c r="E75" s="11" t="s">
        <v>154</v>
      </c>
      <c r="F75" s="17">
        <v>518754.58</v>
      </c>
      <c r="G75" s="17">
        <v>518754.58</v>
      </c>
      <c r="H75" s="41"/>
      <c r="I75" s="31"/>
    </row>
    <row r="76" spans="1:9" s="8" customFormat="1" ht="12.75">
      <c r="A76" s="6" t="s">
        <v>224</v>
      </c>
      <c r="B76" s="10" t="s">
        <v>27</v>
      </c>
      <c r="C76" s="10" t="s">
        <v>19</v>
      </c>
      <c r="D76" s="10" t="s">
        <v>8</v>
      </c>
      <c r="E76" s="10" t="s">
        <v>11</v>
      </c>
      <c r="F76" s="21">
        <f>F77+F79+F81</f>
        <v>3308768</v>
      </c>
      <c r="G76" s="21">
        <f>G77+G79+G81</f>
        <v>3228833</v>
      </c>
      <c r="H76" s="40"/>
      <c r="I76" s="34"/>
    </row>
    <row r="77" spans="1:9" s="8" customFormat="1" ht="18.75" customHeight="1">
      <c r="A77" s="28" t="s">
        <v>293</v>
      </c>
      <c r="B77" s="15" t="s">
        <v>27</v>
      </c>
      <c r="C77" s="15" t="s">
        <v>19</v>
      </c>
      <c r="D77" s="15" t="s">
        <v>266</v>
      </c>
      <c r="E77" s="15" t="s">
        <v>11</v>
      </c>
      <c r="F77" s="27">
        <f>F78</f>
        <v>3145922</v>
      </c>
      <c r="G77" s="27">
        <f>G78</f>
        <v>3145922</v>
      </c>
      <c r="H77" s="32"/>
      <c r="I77" s="33"/>
    </row>
    <row r="78" spans="1:9" s="8" customFormat="1" ht="57" customHeight="1">
      <c r="A78" s="28" t="s">
        <v>268</v>
      </c>
      <c r="B78" s="15" t="s">
        <v>27</v>
      </c>
      <c r="C78" s="15" t="s">
        <v>19</v>
      </c>
      <c r="D78" s="15" t="s">
        <v>266</v>
      </c>
      <c r="E78" s="15" t="s">
        <v>267</v>
      </c>
      <c r="F78" s="27">
        <v>3145922</v>
      </c>
      <c r="G78" s="27">
        <v>3145922</v>
      </c>
      <c r="H78" s="32"/>
      <c r="I78" s="31"/>
    </row>
    <row r="79" spans="1:9" ht="35.25" customHeight="1">
      <c r="A79" s="4" t="s">
        <v>226</v>
      </c>
      <c r="B79" s="11" t="s">
        <v>27</v>
      </c>
      <c r="C79" s="11" t="s">
        <v>19</v>
      </c>
      <c r="D79" s="11" t="s">
        <v>205</v>
      </c>
      <c r="E79" s="11" t="s">
        <v>11</v>
      </c>
      <c r="F79" s="17">
        <f>F80</f>
        <v>3646</v>
      </c>
      <c r="G79" s="17">
        <f>G80</f>
        <v>3646</v>
      </c>
      <c r="H79" s="41"/>
      <c r="I79" s="31"/>
    </row>
    <row r="80" spans="1:9" ht="22.5">
      <c r="A80" s="4" t="s">
        <v>18</v>
      </c>
      <c r="B80" s="11" t="s">
        <v>27</v>
      </c>
      <c r="C80" s="11" t="s">
        <v>19</v>
      </c>
      <c r="D80" s="11" t="s">
        <v>205</v>
      </c>
      <c r="E80" s="11" t="s">
        <v>154</v>
      </c>
      <c r="F80" s="17">
        <v>3646</v>
      </c>
      <c r="G80" s="17">
        <v>3646</v>
      </c>
      <c r="H80" s="41"/>
      <c r="I80" s="31"/>
    </row>
    <row r="81" spans="1:9" s="14" customFormat="1" ht="45">
      <c r="A81" s="28" t="s">
        <v>384</v>
      </c>
      <c r="B81" s="51" t="s">
        <v>27</v>
      </c>
      <c r="C81" s="51" t="s">
        <v>19</v>
      </c>
      <c r="D81" s="51" t="s">
        <v>339</v>
      </c>
      <c r="E81" s="51" t="s">
        <v>11</v>
      </c>
      <c r="F81" s="19">
        <f>F82</f>
        <v>159200</v>
      </c>
      <c r="G81" s="19">
        <f>G82</f>
        <v>79265</v>
      </c>
      <c r="H81" s="41"/>
      <c r="I81" s="31"/>
    </row>
    <row r="82" spans="1:9" s="14" customFormat="1" ht="22.5">
      <c r="A82" s="28" t="s">
        <v>18</v>
      </c>
      <c r="B82" s="51" t="s">
        <v>27</v>
      </c>
      <c r="C82" s="51" t="s">
        <v>19</v>
      </c>
      <c r="D82" s="51" t="s">
        <v>339</v>
      </c>
      <c r="E82" s="51" t="s">
        <v>154</v>
      </c>
      <c r="F82" s="19">
        <v>159200</v>
      </c>
      <c r="G82" s="19">
        <f>79265</f>
        <v>79265</v>
      </c>
      <c r="H82" s="41"/>
      <c r="I82" s="31"/>
    </row>
    <row r="83" spans="1:9" ht="23.25" customHeight="1">
      <c r="A83" s="6" t="s">
        <v>227</v>
      </c>
      <c r="B83" s="10" t="s">
        <v>27</v>
      </c>
      <c r="C83" s="10" t="s">
        <v>27</v>
      </c>
      <c r="D83" s="10" t="s">
        <v>144</v>
      </c>
      <c r="E83" s="10" t="s">
        <v>11</v>
      </c>
      <c r="F83" s="21">
        <f>F84+F86+F88+F90+F92+F94</f>
        <v>66652574.88999999</v>
      </c>
      <c r="G83" s="21">
        <f>G84+G86+G88+G90+G92+G94</f>
        <v>65008532.050000004</v>
      </c>
      <c r="H83" s="40"/>
      <c r="I83" s="34"/>
    </row>
    <row r="84" spans="1:9" ht="33.75" customHeight="1">
      <c r="A84" s="4" t="s">
        <v>228</v>
      </c>
      <c r="B84" s="11" t="s">
        <v>27</v>
      </c>
      <c r="C84" s="11" t="s">
        <v>27</v>
      </c>
      <c r="D84" s="11" t="s">
        <v>206</v>
      </c>
      <c r="E84" s="11" t="s">
        <v>11</v>
      </c>
      <c r="F84" s="17">
        <f>F85</f>
        <v>9898456.18</v>
      </c>
      <c r="G84" s="17">
        <f>G85</f>
        <v>9897352.64</v>
      </c>
      <c r="H84" s="41"/>
      <c r="I84" s="31"/>
    </row>
    <row r="85" spans="1:9" ht="12.75">
      <c r="A85" s="4" t="s">
        <v>219</v>
      </c>
      <c r="B85" s="11" t="s">
        <v>27</v>
      </c>
      <c r="C85" s="11" t="s">
        <v>27</v>
      </c>
      <c r="D85" s="11" t="s">
        <v>248</v>
      </c>
      <c r="E85" s="11" t="s">
        <v>203</v>
      </c>
      <c r="F85" s="17">
        <v>9898456.18</v>
      </c>
      <c r="G85" s="17">
        <f>155331+9742021.64</f>
        <v>9897352.64</v>
      </c>
      <c r="H85" s="41"/>
      <c r="I85" s="31"/>
    </row>
    <row r="86" spans="1:9" ht="24.75" customHeight="1">
      <c r="A86" s="4" t="s">
        <v>230</v>
      </c>
      <c r="B86" s="11" t="s">
        <v>27</v>
      </c>
      <c r="C86" s="11" t="s">
        <v>27</v>
      </c>
      <c r="D86" s="11" t="s">
        <v>229</v>
      </c>
      <c r="E86" s="11" t="s">
        <v>11</v>
      </c>
      <c r="F86" s="17">
        <f>F87</f>
        <v>2428199.3</v>
      </c>
      <c r="G86" s="17">
        <f>G87</f>
        <v>2428199.3</v>
      </c>
      <c r="H86" s="41"/>
      <c r="I86" s="31"/>
    </row>
    <row r="87" spans="1:9" ht="14.25" customHeight="1">
      <c r="A87" s="4" t="s">
        <v>219</v>
      </c>
      <c r="B87" s="11" t="s">
        <v>27</v>
      </c>
      <c r="C87" s="11" t="s">
        <v>27</v>
      </c>
      <c r="D87" s="11" t="s">
        <v>232</v>
      </c>
      <c r="E87" s="11" t="s">
        <v>203</v>
      </c>
      <c r="F87" s="17">
        <v>2428199.3</v>
      </c>
      <c r="G87" s="17">
        <v>2428199.3</v>
      </c>
      <c r="H87" s="41"/>
      <c r="I87" s="31"/>
    </row>
    <row r="88" spans="1:9" ht="59.25" customHeight="1">
      <c r="A88" s="4" t="s">
        <v>301</v>
      </c>
      <c r="B88" s="11" t="s">
        <v>27</v>
      </c>
      <c r="C88" s="11" t="s">
        <v>27</v>
      </c>
      <c r="D88" s="11" t="s">
        <v>300</v>
      </c>
      <c r="E88" s="11" t="s">
        <v>11</v>
      </c>
      <c r="F88" s="17">
        <f>F89</f>
        <v>37467512.6</v>
      </c>
      <c r="G88" s="17">
        <f>G89</f>
        <v>37467512.6</v>
      </c>
      <c r="H88" s="41"/>
      <c r="I88" s="31"/>
    </row>
    <row r="89" spans="1:9" ht="12" customHeight="1">
      <c r="A89" s="4" t="s">
        <v>219</v>
      </c>
      <c r="B89" s="11" t="s">
        <v>27</v>
      </c>
      <c r="C89" s="11" t="s">
        <v>27</v>
      </c>
      <c r="D89" s="11" t="s">
        <v>300</v>
      </c>
      <c r="E89" s="11" t="s">
        <v>203</v>
      </c>
      <c r="F89" s="17">
        <f>396348.9+831039+4096+66731.37+86060.54+89901+135955+2732+7504+1781006+65088+143622.3+1255327.82+560852.7+3436810.07+1741823.8+155007+1580229+1801697.3+202010+921118.12+35375.01+40229.56+1363417.2+1304815.2+2759707.1+818842.85+1307040.61+12616859.15+1407035.3+549230.7</f>
        <v>37467512.6</v>
      </c>
      <c r="G89" s="17">
        <v>37467512.6</v>
      </c>
      <c r="H89" s="41"/>
      <c r="I89" s="31"/>
    </row>
    <row r="90" spans="1:9" s="14" customFormat="1" ht="78.75">
      <c r="A90" s="28" t="s">
        <v>385</v>
      </c>
      <c r="B90" s="51" t="s">
        <v>27</v>
      </c>
      <c r="C90" s="51" t="s">
        <v>27</v>
      </c>
      <c r="D90" s="51" t="s">
        <v>340</v>
      </c>
      <c r="E90" s="51" t="s">
        <v>11</v>
      </c>
      <c r="F90" s="19">
        <f>F91</f>
        <v>5500000</v>
      </c>
      <c r="G90" s="19">
        <f>G91</f>
        <v>5470134.7</v>
      </c>
      <c r="H90" s="41"/>
      <c r="I90" s="31"/>
    </row>
    <row r="91" spans="1:9" s="14" customFormat="1" ht="12" customHeight="1">
      <c r="A91" s="28" t="s">
        <v>219</v>
      </c>
      <c r="B91" s="51" t="s">
        <v>27</v>
      </c>
      <c r="C91" s="51" t="s">
        <v>27</v>
      </c>
      <c r="D91" s="51" t="s">
        <v>340</v>
      </c>
      <c r="E91" s="51" t="s">
        <v>203</v>
      </c>
      <c r="F91" s="19">
        <v>5500000</v>
      </c>
      <c r="G91" s="19">
        <v>5470134.7</v>
      </c>
      <c r="H91" s="41"/>
      <c r="I91" s="31"/>
    </row>
    <row r="92" spans="1:9" ht="45.75" customHeight="1">
      <c r="A92" s="4" t="s">
        <v>233</v>
      </c>
      <c r="B92" s="11" t="s">
        <v>27</v>
      </c>
      <c r="C92" s="11" t="s">
        <v>27</v>
      </c>
      <c r="D92" s="11" t="s">
        <v>309</v>
      </c>
      <c r="E92" s="11" t="s">
        <v>11</v>
      </c>
      <c r="F92" s="17">
        <f>F93</f>
        <v>11147414.440000001</v>
      </c>
      <c r="G92" s="17">
        <f>G93</f>
        <v>9534340.44</v>
      </c>
      <c r="H92" s="41"/>
      <c r="I92" s="31"/>
    </row>
    <row r="93" spans="1:9" ht="12.75">
      <c r="A93" s="4" t="s">
        <v>219</v>
      </c>
      <c r="B93" s="11" t="s">
        <v>27</v>
      </c>
      <c r="C93" s="11" t="s">
        <v>27</v>
      </c>
      <c r="D93" s="11" t="s">
        <v>309</v>
      </c>
      <c r="E93" s="11" t="s">
        <v>203</v>
      </c>
      <c r="F93" s="17">
        <f>200682.14+148564.3+4179660+6174000+444508</f>
        <v>11147414.440000001</v>
      </c>
      <c r="G93" s="17">
        <f>200682.14+148564.3+2566586+6174000+444508</f>
        <v>9534340.44</v>
      </c>
      <c r="H93" s="41"/>
      <c r="I93" s="31"/>
    </row>
    <row r="94" spans="1:9" ht="23.25" customHeight="1">
      <c r="A94" s="4" t="s">
        <v>221</v>
      </c>
      <c r="B94" s="11" t="s">
        <v>27</v>
      </c>
      <c r="C94" s="11" t="s">
        <v>27</v>
      </c>
      <c r="D94" s="11" t="s">
        <v>141</v>
      </c>
      <c r="E94" s="11" t="s">
        <v>11</v>
      </c>
      <c r="F94" s="17">
        <f>F95</f>
        <v>210992.37</v>
      </c>
      <c r="G94" s="17">
        <f>G95</f>
        <v>210992.37</v>
      </c>
      <c r="H94" s="41"/>
      <c r="I94" s="31"/>
    </row>
    <row r="95" spans="1:9" ht="12.75" customHeight="1">
      <c r="A95" s="4" t="s">
        <v>219</v>
      </c>
      <c r="B95" s="11" t="s">
        <v>27</v>
      </c>
      <c r="C95" s="11" t="s">
        <v>27</v>
      </c>
      <c r="D95" s="11" t="s">
        <v>152</v>
      </c>
      <c r="E95" s="11" t="s">
        <v>203</v>
      </c>
      <c r="F95" s="17">
        <v>210992.37</v>
      </c>
      <c r="G95" s="17">
        <v>210992.37</v>
      </c>
      <c r="H95" s="41"/>
      <c r="I95" s="31"/>
    </row>
    <row r="96" spans="1:9" ht="12.75">
      <c r="A96" s="7" t="s">
        <v>59</v>
      </c>
      <c r="B96" s="9" t="s">
        <v>31</v>
      </c>
      <c r="C96" s="9" t="s">
        <v>10</v>
      </c>
      <c r="D96" s="9" t="s">
        <v>8</v>
      </c>
      <c r="E96" s="9" t="s">
        <v>11</v>
      </c>
      <c r="F96" s="24">
        <f>F97</f>
        <v>51070796.62</v>
      </c>
      <c r="G96" s="24">
        <f>G97</f>
        <v>50170796.62</v>
      </c>
      <c r="H96" s="38"/>
      <c r="I96" s="39"/>
    </row>
    <row r="97" spans="1:9" ht="22.5" customHeight="1">
      <c r="A97" s="6" t="s">
        <v>294</v>
      </c>
      <c r="B97" s="10" t="s">
        <v>31</v>
      </c>
      <c r="C97" s="10" t="s">
        <v>27</v>
      </c>
      <c r="D97" s="10" t="s">
        <v>8</v>
      </c>
      <c r="E97" s="10" t="s">
        <v>11</v>
      </c>
      <c r="F97" s="21">
        <f>F98+F100+F102+F104</f>
        <v>51070796.62</v>
      </c>
      <c r="G97" s="21">
        <f>G98+G100+G102+G104</f>
        <v>50170796.62</v>
      </c>
      <c r="H97" s="40"/>
      <c r="I97" s="34"/>
    </row>
    <row r="98" spans="1:9" ht="22.5">
      <c r="A98" s="4" t="s">
        <v>386</v>
      </c>
      <c r="B98" s="13" t="s">
        <v>31</v>
      </c>
      <c r="C98" s="13" t="s">
        <v>27</v>
      </c>
      <c r="D98" s="13" t="s">
        <v>256</v>
      </c>
      <c r="E98" s="13" t="s">
        <v>11</v>
      </c>
      <c r="F98" s="27">
        <f>F99</f>
        <v>900000</v>
      </c>
      <c r="G98" s="27">
        <f>G99</f>
        <v>0</v>
      </c>
      <c r="H98" s="32"/>
      <c r="I98" s="33"/>
    </row>
    <row r="99" spans="1:9" ht="22.5">
      <c r="A99" s="4" t="s">
        <v>18</v>
      </c>
      <c r="B99" s="13" t="s">
        <v>31</v>
      </c>
      <c r="C99" s="13" t="s">
        <v>27</v>
      </c>
      <c r="D99" s="13" t="s">
        <v>256</v>
      </c>
      <c r="E99" s="13" t="s">
        <v>154</v>
      </c>
      <c r="F99" s="27">
        <v>900000</v>
      </c>
      <c r="G99" s="27"/>
      <c r="H99" s="32"/>
      <c r="I99" s="33"/>
    </row>
    <row r="100" spans="1:9" ht="12.75">
      <c r="A100" s="4" t="s">
        <v>218</v>
      </c>
      <c r="B100" s="11" t="s">
        <v>31</v>
      </c>
      <c r="C100" s="11" t="s">
        <v>27</v>
      </c>
      <c r="D100" s="11" t="s">
        <v>253</v>
      </c>
      <c r="E100" s="11" t="s">
        <v>11</v>
      </c>
      <c r="F100" s="17">
        <f>F101</f>
        <v>141190.5</v>
      </c>
      <c r="G100" s="17">
        <f>G101</f>
        <v>141190.5</v>
      </c>
      <c r="H100" s="41"/>
      <c r="I100" s="31"/>
    </row>
    <row r="101" spans="1:9" ht="12.75">
      <c r="A101" s="4" t="s">
        <v>219</v>
      </c>
      <c r="B101" s="11" t="s">
        <v>31</v>
      </c>
      <c r="C101" s="11" t="s">
        <v>27</v>
      </c>
      <c r="D101" s="11" t="s">
        <v>253</v>
      </c>
      <c r="E101" s="11" t="s">
        <v>203</v>
      </c>
      <c r="F101" s="17">
        <v>141190.5</v>
      </c>
      <c r="G101" s="17">
        <f>141190.5</f>
        <v>141190.5</v>
      </c>
      <c r="H101" s="41"/>
      <c r="I101" s="31"/>
    </row>
    <row r="102" spans="1:9" s="14" customFormat="1" ht="43.5" customHeight="1">
      <c r="A102" s="28" t="s">
        <v>387</v>
      </c>
      <c r="B102" s="51" t="s">
        <v>31</v>
      </c>
      <c r="C102" s="51" t="s">
        <v>27</v>
      </c>
      <c r="D102" s="51" t="s">
        <v>270</v>
      </c>
      <c r="E102" s="51" t="s">
        <v>11</v>
      </c>
      <c r="F102" s="19">
        <f>F103</f>
        <v>50000000</v>
      </c>
      <c r="G102" s="19">
        <f>G103</f>
        <v>50000000</v>
      </c>
      <c r="H102" s="41"/>
      <c r="I102" s="31"/>
    </row>
    <row r="103" spans="1:9" s="14" customFormat="1" ht="12.75">
      <c r="A103" s="28" t="s">
        <v>219</v>
      </c>
      <c r="B103" s="51" t="s">
        <v>31</v>
      </c>
      <c r="C103" s="51" t="s">
        <v>27</v>
      </c>
      <c r="D103" s="51" t="s">
        <v>270</v>
      </c>
      <c r="E103" s="51" t="s">
        <v>203</v>
      </c>
      <c r="F103" s="19">
        <v>50000000</v>
      </c>
      <c r="G103" s="19">
        <v>50000000</v>
      </c>
      <c r="H103" s="41"/>
      <c r="I103" s="31"/>
    </row>
    <row r="104" spans="1:9" s="14" customFormat="1" ht="22.5">
      <c r="A104" s="28" t="s">
        <v>221</v>
      </c>
      <c r="B104" s="51" t="s">
        <v>31</v>
      </c>
      <c r="C104" s="51" t="s">
        <v>27</v>
      </c>
      <c r="D104" s="51" t="s">
        <v>51</v>
      </c>
      <c r="E104" s="51" t="s">
        <v>11</v>
      </c>
      <c r="F104" s="19">
        <f>F105</f>
        <v>29606.12</v>
      </c>
      <c r="G104" s="19">
        <f>G105</f>
        <v>29606.12</v>
      </c>
      <c r="H104" s="41"/>
      <c r="I104" s="31"/>
    </row>
    <row r="105" spans="1:9" s="14" customFormat="1" ht="12.75">
      <c r="A105" s="28" t="s">
        <v>219</v>
      </c>
      <c r="B105" s="51" t="s">
        <v>31</v>
      </c>
      <c r="C105" s="51" t="s">
        <v>27</v>
      </c>
      <c r="D105" s="51" t="s">
        <v>51</v>
      </c>
      <c r="E105" s="51" t="s">
        <v>203</v>
      </c>
      <c r="F105" s="19">
        <v>29606.12</v>
      </c>
      <c r="G105" s="19">
        <f>9866+19740.12</f>
        <v>29606.12</v>
      </c>
      <c r="H105" s="41"/>
      <c r="I105" s="31"/>
    </row>
    <row r="106" spans="1:9" s="14" customFormat="1" ht="12.75">
      <c r="A106" s="61" t="s">
        <v>60</v>
      </c>
      <c r="B106" s="62" t="s">
        <v>61</v>
      </c>
      <c r="C106" s="62" t="s">
        <v>10</v>
      </c>
      <c r="D106" s="62" t="s">
        <v>8</v>
      </c>
      <c r="E106" s="62" t="s">
        <v>11</v>
      </c>
      <c r="F106" s="63">
        <f>F107+F122+F145</f>
        <v>315215496.42</v>
      </c>
      <c r="G106" s="63">
        <f>G107+G122+G145</f>
        <v>148521819.47</v>
      </c>
      <c r="H106" s="38"/>
      <c r="I106" s="39"/>
    </row>
    <row r="107" spans="1:9" s="14" customFormat="1" ht="12.75">
      <c r="A107" s="56" t="s">
        <v>62</v>
      </c>
      <c r="B107" s="57" t="s">
        <v>63</v>
      </c>
      <c r="C107" s="57" t="s">
        <v>9</v>
      </c>
      <c r="D107" s="57" t="s">
        <v>8</v>
      </c>
      <c r="E107" s="57" t="s">
        <v>11</v>
      </c>
      <c r="F107" s="58">
        <f>F108+F110+F112+F114+F116+F118+F120</f>
        <v>85338434.96000001</v>
      </c>
      <c r="G107" s="58">
        <f>G108+G110+G112+G114+G116+G118+G120</f>
        <v>34752875.760000005</v>
      </c>
      <c r="H107" s="40"/>
      <c r="I107" s="34"/>
    </row>
    <row r="108" spans="1:9" s="14" customFormat="1" ht="22.5">
      <c r="A108" s="28" t="s">
        <v>64</v>
      </c>
      <c r="B108" s="51" t="s">
        <v>63</v>
      </c>
      <c r="C108" s="51" t="s">
        <v>9</v>
      </c>
      <c r="D108" s="51" t="s">
        <v>65</v>
      </c>
      <c r="E108" s="51" t="s">
        <v>11</v>
      </c>
      <c r="F108" s="19">
        <f>F109</f>
        <v>67934640.47</v>
      </c>
      <c r="G108" s="19">
        <f>G109</f>
        <v>27338376.48</v>
      </c>
      <c r="H108" s="41"/>
      <c r="I108" s="31"/>
    </row>
    <row r="109" spans="1:9" s="14" customFormat="1" ht="22.5">
      <c r="A109" s="28" t="s">
        <v>38</v>
      </c>
      <c r="B109" s="51" t="s">
        <v>63</v>
      </c>
      <c r="C109" s="51" t="s">
        <v>9</v>
      </c>
      <c r="D109" s="51" t="s">
        <v>65</v>
      </c>
      <c r="E109" s="51" t="s">
        <v>39</v>
      </c>
      <c r="F109" s="19">
        <v>67934640.47</v>
      </c>
      <c r="G109" s="19">
        <f>15378712.05+92408.9+4139021.78+47170.98+4430+1727286.5+2743476.77+68329.68+7093.12+89377.24+3041069.46</f>
        <v>27338376.48</v>
      </c>
      <c r="H109" s="41"/>
      <c r="I109" s="31"/>
    </row>
    <row r="110" spans="1:9" s="14" customFormat="1" ht="22.5">
      <c r="A110" s="28" t="s">
        <v>64</v>
      </c>
      <c r="B110" s="51" t="s">
        <v>63</v>
      </c>
      <c r="C110" s="51" t="s">
        <v>9</v>
      </c>
      <c r="D110" s="51" t="s">
        <v>65</v>
      </c>
      <c r="E110" s="51" t="s">
        <v>11</v>
      </c>
      <c r="F110" s="19">
        <f>F111</f>
        <v>75240.93</v>
      </c>
      <c r="G110" s="19">
        <f>G111</f>
        <v>75240.93</v>
      </c>
      <c r="H110" s="41"/>
      <c r="I110" s="31"/>
    </row>
    <row r="111" spans="1:9" s="14" customFormat="1" ht="33.75">
      <c r="A111" s="28" t="s">
        <v>388</v>
      </c>
      <c r="B111" s="51" t="s">
        <v>63</v>
      </c>
      <c r="C111" s="51" t="s">
        <v>9</v>
      </c>
      <c r="D111" s="51" t="s">
        <v>65</v>
      </c>
      <c r="E111" s="51" t="s">
        <v>134</v>
      </c>
      <c r="F111" s="19">
        <v>75240.93</v>
      </c>
      <c r="G111" s="19">
        <v>75240.93</v>
      </c>
      <c r="H111" s="41"/>
      <c r="I111" s="31"/>
    </row>
    <row r="112" spans="1:9" s="14" customFormat="1" ht="33.75">
      <c r="A112" s="28" t="s">
        <v>389</v>
      </c>
      <c r="B112" s="51" t="s">
        <v>63</v>
      </c>
      <c r="C112" s="51" t="s">
        <v>9</v>
      </c>
      <c r="D112" s="51" t="s">
        <v>341</v>
      </c>
      <c r="E112" s="51" t="s">
        <v>11</v>
      </c>
      <c r="F112" s="19">
        <f>F113</f>
        <v>4790000</v>
      </c>
      <c r="G112" s="19">
        <f>G113</f>
        <v>2399142.48</v>
      </c>
      <c r="H112" s="41"/>
      <c r="I112" s="31"/>
    </row>
    <row r="113" spans="1:9" s="14" customFormat="1" ht="22.5">
      <c r="A113" s="28" t="s">
        <v>38</v>
      </c>
      <c r="B113" s="51" t="s">
        <v>63</v>
      </c>
      <c r="C113" s="51" t="s">
        <v>9</v>
      </c>
      <c r="D113" s="51" t="s">
        <v>341</v>
      </c>
      <c r="E113" s="51" t="s">
        <v>39</v>
      </c>
      <c r="F113" s="19">
        <v>4790000</v>
      </c>
      <c r="G113" s="19">
        <v>2399142.48</v>
      </c>
      <c r="H113" s="41"/>
      <c r="I113" s="31"/>
    </row>
    <row r="114" spans="1:9" s="14" customFormat="1" ht="45">
      <c r="A114" s="28" t="s">
        <v>390</v>
      </c>
      <c r="B114" s="51" t="s">
        <v>63</v>
      </c>
      <c r="C114" s="51" t="s">
        <v>9</v>
      </c>
      <c r="D114" s="51" t="s">
        <v>342</v>
      </c>
      <c r="E114" s="51" t="s">
        <v>11</v>
      </c>
      <c r="F114" s="19">
        <f>F115</f>
        <v>514400</v>
      </c>
      <c r="G114" s="19">
        <f>G115</f>
        <v>42862.63</v>
      </c>
      <c r="H114" s="41"/>
      <c r="I114" s="31"/>
    </row>
    <row r="115" spans="1:9" s="14" customFormat="1" ht="22.5">
      <c r="A115" s="28" t="s">
        <v>38</v>
      </c>
      <c r="B115" s="51" t="s">
        <v>63</v>
      </c>
      <c r="C115" s="51" t="s">
        <v>9</v>
      </c>
      <c r="D115" s="51" t="s">
        <v>342</v>
      </c>
      <c r="E115" s="51" t="s">
        <v>39</v>
      </c>
      <c r="F115" s="19">
        <v>514400</v>
      </c>
      <c r="G115" s="19">
        <v>42862.63</v>
      </c>
      <c r="H115" s="41"/>
      <c r="I115" s="31"/>
    </row>
    <row r="116" spans="1:9" s="14" customFormat="1" ht="45">
      <c r="A116" s="28" t="s">
        <v>390</v>
      </c>
      <c r="B116" s="51" t="s">
        <v>63</v>
      </c>
      <c r="C116" s="51" t="s">
        <v>9</v>
      </c>
      <c r="D116" s="51" t="s">
        <v>342</v>
      </c>
      <c r="E116" s="51" t="s">
        <v>11</v>
      </c>
      <c r="F116" s="19">
        <f>F117</f>
        <v>2302657.54</v>
      </c>
      <c r="G116" s="19">
        <f>G117</f>
        <v>580766.35</v>
      </c>
      <c r="H116" s="41"/>
      <c r="I116" s="31"/>
    </row>
    <row r="117" spans="1:9" s="14" customFormat="1" ht="22.5">
      <c r="A117" s="28" t="s">
        <v>18</v>
      </c>
      <c r="B117" s="51" t="s">
        <v>63</v>
      </c>
      <c r="C117" s="51" t="s">
        <v>9</v>
      </c>
      <c r="D117" s="51" t="s">
        <v>342</v>
      </c>
      <c r="E117" s="51" t="s">
        <v>154</v>
      </c>
      <c r="F117" s="19">
        <v>2302657.54</v>
      </c>
      <c r="G117" s="19">
        <v>580766.35</v>
      </c>
      <c r="H117" s="41"/>
      <c r="I117" s="31"/>
    </row>
    <row r="118" spans="1:9" s="14" customFormat="1" ht="90">
      <c r="A118" s="28" t="s">
        <v>391</v>
      </c>
      <c r="B118" s="51" t="s">
        <v>63</v>
      </c>
      <c r="C118" s="51" t="s">
        <v>9</v>
      </c>
      <c r="D118" s="51" t="s">
        <v>343</v>
      </c>
      <c r="E118" s="51" t="s">
        <v>11</v>
      </c>
      <c r="F118" s="19">
        <f>F119</f>
        <v>4411264.86</v>
      </c>
      <c r="G118" s="19">
        <f>G119</f>
        <v>2405383.96</v>
      </c>
      <c r="H118" s="41"/>
      <c r="I118" s="31"/>
    </row>
    <row r="119" spans="1:9" s="14" customFormat="1" ht="22.5">
      <c r="A119" s="28" t="s">
        <v>38</v>
      </c>
      <c r="B119" s="51" t="s">
        <v>63</v>
      </c>
      <c r="C119" s="51" t="s">
        <v>9</v>
      </c>
      <c r="D119" s="51" t="s">
        <v>343</v>
      </c>
      <c r="E119" s="51" t="s">
        <v>39</v>
      </c>
      <c r="F119" s="19">
        <v>4411264.86</v>
      </c>
      <c r="G119" s="19">
        <v>2405383.96</v>
      </c>
      <c r="H119" s="41"/>
      <c r="I119" s="31"/>
    </row>
    <row r="120" spans="1:9" s="14" customFormat="1" ht="24.75" customHeight="1">
      <c r="A120" s="28" t="s">
        <v>236</v>
      </c>
      <c r="B120" s="51" t="s">
        <v>63</v>
      </c>
      <c r="C120" s="51" t="s">
        <v>9</v>
      </c>
      <c r="D120" s="51" t="s">
        <v>254</v>
      </c>
      <c r="E120" s="51" t="s">
        <v>11</v>
      </c>
      <c r="F120" s="19">
        <f>F121</f>
        <v>5310231.16</v>
      </c>
      <c r="G120" s="19">
        <f>G121</f>
        <v>1911102.9300000002</v>
      </c>
      <c r="H120" s="41"/>
      <c r="I120" s="31"/>
    </row>
    <row r="121" spans="1:9" s="14" customFormat="1" ht="22.5">
      <c r="A121" s="28" t="s">
        <v>38</v>
      </c>
      <c r="B121" s="51" t="s">
        <v>63</v>
      </c>
      <c r="C121" s="51" t="s">
        <v>9</v>
      </c>
      <c r="D121" s="51" t="s">
        <v>254</v>
      </c>
      <c r="E121" s="51" t="s">
        <v>39</v>
      </c>
      <c r="F121" s="19">
        <v>5310231.16</v>
      </c>
      <c r="G121" s="19">
        <f>1307684.07+603418.86</f>
        <v>1911102.9300000002</v>
      </c>
      <c r="H121" s="41"/>
      <c r="I121" s="31"/>
    </row>
    <row r="122" spans="1:9" ht="12.75">
      <c r="A122" s="6" t="s">
        <v>66</v>
      </c>
      <c r="B122" s="10" t="s">
        <v>63</v>
      </c>
      <c r="C122" s="10" t="s">
        <v>13</v>
      </c>
      <c r="D122" s="10" t="s">
        <v>8</v>
      </c>
      <c r="E122" s="10" t="s">
        <v>11</v>
      </c>
      <c r="F122" s="21">
        <f>F123+F125+F127+F129+F131+F133+F135+F137+F139+F141+F143</f>
        <v>216171828.87</v>
      </c>
      <c r="G122" s="21">
        <f>G123+G125+G127+G129+G131+G133+G135+G137+G139+G141+G143</f>
        <v>108219424.56</v>
      </c>
      <c r="H122" s="41"/>
      <c r="I122" s="31"/>
    </row>
    <row r="123" spans="1:9" ht="22.5">
      <c r="A123" s="4" t="s">
        <v>64</v>
      </c>
      <c r="B123" s="11" t="s">
        <v>63</v>
      </c>
      <c r="C123" s="11" t="s">
        <v>13</v>
      </c>
      <c r="D123" s="11" t="s">
        <v>67</v>
      </c>
      <c r="E123" s="11" t="s">
        <v>11</v>
      </c>
      <c r="F123" s="17">
        <f>F124</f>
        <v>22670026.11</v>
      </c>
      <c r="G123" s="17">
        <f>G124</f>
        <v>14110519.07</v>
      </c>
      <c r="H123" s="41"/>
      <c r="I123" s="31"/>
    </row>
    <row r="124" spans="1:9" ht="22.5">
      <c r="A124" s="28" t="s">
        <v>38</v>
      </c>
      <c r="B124" s="11" t="s">
        <v>63</v>
      </c>
      <c r="C124" s="11" t="s">
        <v>13</v>
      </c>
      <c r="D124" s="11" t="s">
        <v>67</v>
      </c>
      <c r="E124" s="11" t="s">
        <v>39</v>
      </c>
      <c r="F124" s="19">
        <f>245017+22425009.11</f>
        <v>22670026.11</v>
      </c>
      <c r="G124" s="19">
        <f>369895.82+300+96912+135045.96+764731.98+4363125.98+12265.5+1231024.18+460288.26+130575.81+175537+4010450.94+2047834.74+245017+67513.9</f>
        <v>14110519.07</v>
      </c>
      <c r="H124" s="41"/>
      <c r="I124" s="31"/>
    </row>
    <row r="125" spans="1:9" s="14" customFormat="1" ht="56.25">
      <c r="A125" s="28" t="s">
        <v>170</v>
      </c>
      <c r="B125" s="51" t="s">
        <v>63</v>
      </c>
      <c r="C125" s="51" t="s">
        <v>13</v>
      </c>
      <c r="D125" s="51" t="s">
        <v>344</v>
      </c>
      <c r="E125" s="51" t="s">
        <v>11</v>
      </c>
      <c r="F125" s="19">
        <f>F126</f>
        <v>5196316.88</v>
      </c>
      <c r="G125" s="19">
        <f>G126</f>
        <v>642972.4</v>
      </c>
      <c r="H125" s="41"/>
      <c r="I125" s="31"/>
    </row>
    <row r="126" spans="1:9" s="14" customFormat="1" ht="45.75" customHeight="1">
      <c r="A126" s="28" t="s">
        <v>38</v>
      </c>
      <c r="B126" s="51" t="s">
        <v>63</v>
      </c>
      <c r="C126" s="51" t="s">
        <v>167</v>
      </c>
      <c r="D126" s="51" t="s">
        <v>344</v>
      </c>
      <c r="E126" s="51" t="s">
        <v>39</v>
      </c>
      <c r="F126" s="19">
        <v>5196316.88</v>
      </c>
      <c r="G126" s="19">
        <f>642972.4</f>
        <v>642972.4</v>
      </c>
      <c r="H126" s="41"/>
      <c r="I126" s="31"/>
    </row>
    <row r="127" spans="1:9" s="14" customFormat="1" ht="90">
      <c r="A127" s="28" t="s">
        <v>391</v>
      </c>
      <c r="B127" s="51" t="s">
        <v>63</v>
      </c>
      <c r="C127" s="51" t="s">
        <v>13</v>
      </c>
      <c r="D127" s="51" t="s">
        <v>345</v>
      </c>
      <c r="E127" s="51" t="s">
        <v>11</v>
      </c>
      <c r="F127" s="19">
        <f>F128</f>
        <v>11461861.76</v>
      </c>
      <c r="G127" s="19">
        <f>G128</f>
        <v>6223103.62</v>
      </c>
      <c r="H127" s="41"/>
      <c r="I127" s="31"/>
    </row>
    <row r="128" spans="1:9" s="14" customFormat="1" ht="35.25" customHeight="1">
      <c r="A128" s="28" t="s">
        <v>38</v>
      </c>
      <c r="B128" s="51" t="s">
        <v>63</v>
      </c>
      <c r="C128" s="51" t="s">
        <v>13</v>
      </c>
      <c r="D128" s="51" t="s">
        <v>345</v>
      </c>
      <c r="E128" s="51" t="s">
        <v>39</v>
      </c>
      <c r="F128" s="19">
        <v>11461861.76</v>
      </c>
      <c r="G128" s="19">
        <v>6223103.62</v>
      </c>
      <c r="H128" s="41"/>
      <c r="I128" s="31"/>
    </row>
    <row r="129" spans="1:9" s="14" customFormat="1" ht="45">
      <c r="A129" s="28" t="s">
        <v>392</v>
      </c>
      <c r="B129" s="51" t="s">
        <v>63</v>
      </c>
      <c r="C129" s="51" t="s">
        <v>13</v>
      </c>
      <c r="D129" s="51" t="s">
        <v>346</v>
      </c>
      <c r="E129" s="51" t="s">
        <v>11</v>
      </c>
      <c r="F129" s="19">
        <f>F130</f>
        <v>362455.12</v>
      </c>
      <c r="G129" s="19">
        <f>G130</f>
        <v>116835.75</v>
      </c>
      <c r="H129" s="41"/>
      <c r="I129" s="31"/>
    </row>
    <row r="130" spans="1:9" s="14" customFormat="1" ht="23.25" customHeight="1">
      <c r="A130" s="28" t="s">
        <v>38</v>
      </c>
      <c r="B130" s="51" t="s">
        <v>63</v>
      </c>
      <c r="C130" s="51" t="s">
        <v>13</v>
      </c>
      <c r="D130" s="51" t="s">
        <v>346</v>
      </c>
      <c r="E130" s="51" t="s">
        <v>39</v>
      </c>
      <c r="F130" s="19">
        <v>362455.12</v>
      </c>
      <c r="G130" s="19">
        <f>79551.87+13468.5+23815.38</f>
        <v>116835.75</v>
      </c>
      <c r="H130" s="41"/>
      <c r="I130" s="31"/>
    </row>
    <row r="131" spans="1:9" s="14" customFormat="1" ht="78.75">
      <c r="A131" s="28" t="s">
        <v>393</v>
      </c>
      <c r="B131" s="51" t="s">
        <v>61</v>
      </c>
      <c r="C131" s="51" t="s">
        <v>13</v>
      </c>
      <c r="D131" s="51" t="s">
        <v>347</v>
      </c>
      <c r="E131" s="51" t="s">
        <v>11</v>
      </c>
      <c r="F131" s="19">
        <f>F132</f>
        <v>113165322.99</v>
      </c>
      <c r="G131" s="19">
        <f>G132</f>
        <v>58438752.86</v>
      </c>
      <c r="H131" s="41"/>
      <c r="I131" s="31"/>
    </row>
    <row r="132" spans="1:9" s="14" customFormat="1" ht="22.5">
      <c r="A132" s="28" t="s">
        <v>38</v>
      </c>
      <c r="B132" s="51" t="s">
        <v>63</v>
      </c>
      <c r="C132" s="51" t="s">
        <v>13</v>
      </c>
      <c r="D132" s="51" t="s">
        <v>347</v>
      </c>
      <c r="E132" s="51" t="s">
        <v>39</v>
      </c>
      <c r="F132" s="19">
        <v>113165322.99</v>
      </c>
      <c r="G132" s="19">
        <f>45455639.99+290230+12009926.91+75496.98+34960+572498.98</f>
        <v>58438752.86</v>
      </c>
      <c r="H132" s="41"/>
      <c r="I132" s="31"/>
    </row>
    <row r="133" spans="1:9" s="14" customFormat="1" ht="45">
      <c r="A133" s="28" t="s">
        <v>392</v>
      </c>
      <c r="B133" s="51" t="s">
        <v>63</v>
      </c>
      <c r="C133" s="51" t="s">
        <v>13</v>
      </c>
      <c r="D133" s="51" t="s">
        <v>348</v>
      </c>
      <c r="E133" s="51" t="s">
        <v>273</v>
      </c>
      <c r="F133" s="19">
        <f>F134</f>
        <v>23700</v>
      </c>
      <c r="G133" s="19">
        <f>G134</f>
        <v>4768.52</v>
      </c>
      <c r="H133" s="41"/>
      <c r="I133" s="31"/>
    </row>
    <row r="134" spans="1:9" s="14" customFormat="1" ht="22.5">
      <c r="A134" s="28" t="s">
        <v>38</v>
      </c>
      <c r="B134" s="51" t="s">
        <v>63</v>
      </c>
      <c r="C134" s="51" t="s">
        <v>13</v>
      </c>
      <c r="D134" s="51" t="s">
        <v>348</v>
      </c>
      <c r="E134" s="51" t="s">
        <v>39</v>
      </c>
      <c r="F134" s="19">
        <v>23700</v>
      </c>
      <c r="G134" s="19">
        <f>3081.52+1687</f>
        <v>4768.52</v>
      </c>
      <c r="H134" s="41"/>
      <c r="I134" s="31"/>
    </row>
    <row r="135" spans="1:9" s="14" customFormat="1" ht="72.75" customHeight="1">
      <c r="A135" s="28" t="s">
        <v>394</v>
      </c>
      <c r="B135" s="51" t="s">
        <v>63</v>
      </c>
      <c r="C135" s="51" t="s">
        <v>13</v>
      </c>
      <c r="D135" s="51" t="s">
        <v>349</v>
      </c>
      <c r="E135" s="51" t="s">
        <v>11</v>
      </c>
      <c r="F135" s="19">
        <f>F136</f>
        <v>34658367.43</v>
      </c>
      <c r="G135" s="19">
        <f>G136</f>
        <v>17055761.119999997</v>
      </c>
      <c r="H135" s="41"/>
      <c r="I135" s="31"/>
    </row>
    <row r="136" spans="1:9" s="14" customFormat="1" ht="22.5">
      <c r="A136" s="28" t="s">
        <v>38</v>
      </c>
      <c r="B136" s="51" t="s">
        <v>63</v>
      </c>
      <c r="C136" s="51" t="s">
        <v>13</v>
      </c>
      <c r="D136" s="51" t="s">
        <v>349</v>
      </c>
      <c r="E136" s="51" t="s">
        <v>39</v>
      </c>
      <c r="F136" s="19">
        <v>34658367.43</v>
      </c>
      <c r="G136" s="19">
        <f>6310468.09+25000+1533491.39+24097.41+218.52+1015426.81+2429962.2+1143335.42+27357+10416.11+1801051.28+2734936.89</f>
        <v>17055761.119999997</v>
      </c>
      <c r="H136" s="41"/>
      <c r="I136" s="31"/>
    </row>
    <row r="137" spans="1:9" s="14" customFormat="1" ht="22.5">
      <c r="A137" s="28" t="s">
        <v>64</v>
      </c>
      <c r="B137" s="51" t="s">
        <v>63</v>
      </c>
      <c r="C137" s="51" t="s">
        <v>13</v>
      </c>
      <c r="D137" s="51" t="s">
        <v>70</v>
      </c>
      <c r="E137" s="51" t="s">
        <v>11</v>
      </c>
      <c r="F137" s="19">
        <f>F138</f>
        <v>21864810.31</v>
      </c>
      <c r="G137" s="19">
        <f>G138</f>
        <v>8884099.52</v>
      </c>
      <c r="H137" s="41"/>
      <c r="I137" s="31"/>
    </row>
    <row r="138" spans="1:9" s="14" customFormat="1" ht="22.5">
      <c r="A138" s="28" t="s">
        <v>38</v>
      </c>
      <c r="B138" s="51" t="s">
        <v>63</v>
      </c>
      <c r="C138" s="51" t="s">
        <v>13</v>
      </c>
      <c r="D138" s="51" t="s">
        <v>70</v>
      </c>
      <c r="E138" s="51" t="s">
        <v>39</v>
      </c>
      <c r="F138" s="19">
        <f>14204385+7660425.31</f>
        <v>21864810.31</v>
      </c>
      <c r="G138" s="19">
        <f>2159878.36+12800+627139.64+13264.33+22840+43414.41+82421.33+104983.71+15528+10000+87234.41+4428590.3+26072.5+902126.65+22807.08+129273.22+109319.54+6892+8492+61199+9823.04</f>
        <v>8884099.52</v>
      </c>
      <c r="H138" s="41"/>
      <c r="I138" s="31"/>
    </row>
    <row r="139" spans="1:9" s="14" customFormat="1" ht="90">
      <c r="A139" s="28" t="s">
        <v>391</v>
      </c>
      <c r="B139" s="51" t="s">
        <v>63</v>
      </c>
      <c r="C139" s="51" t="s">
        <v>13</v>
      </c>
      <c r="D139" s="51" t="s">
        <v>350</v>
      </c>
      <c r="E139" s="51" t="s">
        <v>11</v>
      </c>
      <c r="F139" s="19">
        <f>F140</f>
        <v>345000</v>
      </c>
      <c r="G139" s="19">
        <f>G140</f>
        <v>140202</v>
      </c>
      <c r="H139" s="41"/>
      <c r="I139" s="31"/>
    </row>
    <row r="140" spans="1:9" s="14" customFormat="1" ht="22.5">
      <c r="A140" s="28" t="s">
        <v>38</v>
      </c>
      <c r="B140" s="51" t="s">
        <v>63</v>
      </c>
      <c r="C140" s="51" t="s">
        <v>13</v>
      </c>
      <c r="D140" s="51" t="s">
        <v>350</v>
      </c>
      <c r="E140" s="51" t="s">
        <v>39</v>
      </c>
      <c r="F140" s="19">
        <f>233100+111900</f>
        <v>345000</v>
      </c>
      <c r="G140" s="19">
        <f>55906.96+84295.04</f>
        <v>140202</v>
      </c>
      <c r="H140" s="41"/>
      <c r="I140" s="31"/>
    </row>
    <row r="141" spans="1:9" s="14" customFormat="1" ht="35.25" customHeight="1">
      <c r="A141" s="28" t="s">
        <v>395</v>
      </c>
      <c r="B141" s="51" t="s">
        <v>63</v>
      </c>
      <c r="C141" s="51" t="s">
        <v>13</v>
      </c>
      <c r="D141" s="51" t="s">
        <v>149</v>
      </c>
      <c r="E141" s="51" t="s">
        <v>11</v>
      </c>
      <c r="F141" s="19">
        <f>F142</f>
        <v>6011468.27</v>
      </c>
      <c r="G141" s="19">
        <f>G142</f>
        <v>2602409.7</v>
      </c>
      <c r="H141" s="41"/>
      <c r="I141" s="31"/>
    </row>
    <row r="142" spans="1:9" s="14" customFormat="1" ht="22.5">
      <c r="A142" s="28" t="s">
        <v>38</v>
      </c>
      <c r="B142" s="51" t="s">
        <v>63</v>
      </c>
      <c r="C142" s="51" t="s">
        <v>13</v>
      </c>
      <c r="D142" s="51" t="s">
        <v>149</v>
      </c>
      <c r="E142" s="51" t="s">
        <v>39</v>
      </c>
      <c r="F142" s="19">
        <f>40+156800+5854628.27</f>
        <v>6011468.27</v>
      </c>
      <c r="G142" s="19">
        <f>2003338.09+544563.34+8862+37406.27+8240</f>
        <v>2602409.7</v>
      </c>
      <c r="H142" s="41"/>
      <c r="I142" s="31"/>
    </row>
    <row r="143" spans="1:9" s="14" customFormat="1" ht="37.5" customHeight="1">
      <c r="A143" s="28" t="s">
        <v>328</v>
      </c>
      <c r="B143" s="51" t="s">
        <v>63</v>
      </c>
      <c r="C143" s="51" t="s">
        <v>13</v>
      </c>
      <c r="D143" s="51" t="s">
        <v>321</v>
      </c>
      <c r="E143" s="51" t="s">
        <v>11</v>
      </c>
      <c r="F143" s="19">
        <f>F144</f>
        <v>412500</v>
      </c>
      <c r="G143" s="19"/>
      <c r="H143" s="41"/>
      <c r="I143" s="31"/>
    </row>
    <row r="144" spans="1:9" s="14" customFormat="1" ht="22.5">
      <c r="A144" s="28" t="s">
        <v>38</v>
      </c>
      <c r="B144" s="51" t="s">
        <v>63</v>
      </c>
      <c r="C144" s="51" t="s">
        <v>13</v>
      </c>
      <c r="D144" s="51" t="s">
        <v>321</v>
      </c>
      <c r="E144" s="51" t="s">
        <v>39</v>
      </c>
      <c r="F144" s="19">
        <v>412500</v>
      </c>
      <c r="G144" s="19"/>
      <c r="H144" s="41"/>
      <c r="I144" s="31"/>
    </row>
    <row r="145" spans="1:9" ht="22.5">
      <c r="A145" s="6" t="s">
        <v>71</v>
      </c>
      <c r="B145" s="10" t="s">
        <v>63</v>
      </c>
      <c r="C145" s="10" t="s">
        <v>72</v>
      </c>
      <c r="D145" s="10" t="s">
        <v>8</v>
      </c>
      <c r="E145" s="10" t="s">
        <v>11</v>
      </c>
      <c r="F145" s="21">
        <f>F146+F148+F150+F152+F154+F156</f>
        <v>13705232.59</v>
      </c>
      <c r="G145" s="21">
        <f>G146+G148+G150+G152+G154+G156</f>
        <v>5549519.15</v>
      </c>
      <c r="H145" s="32"/>
      <c r="I145" s="33"/>
    </row>
    <row r="146" spans="1:9" s="14" customFormat="1" ht="12.75">
      <c r="A146" s="28" t="s">
        <v>20</v>
      </c>
      <c r="B146" s="15" t="s">
        <v>63</v>
      </c>
      <c r="C146" s="15" t="s">
        <v>72</v>
      </c>
      <c r="D146" s="15" t="s">
        <v>21</v>
      </c>
      <c r="E146" s="15" t="s">
        <v>11</v>
      </c>
      <c r="F146" s="27">
        <f>F147</f>
        <v>1663026.33</v>
      </c>
      <c r="G146" s="27">
        <f>G147</f>
        <v>623120.5700000001</v>
      </c>
      <c r="H146" s="41"/>
      <c r="I146" s="31"/>
    </row>
    <row r="147" spans="1:9" s="14" customFormat="1" ht="22.5">
      <c r="A147" s="28" t="s">
        <v>18</v>
      </c>
      <c r="B147" s="51" t="s">
        <v>63</v>
      </c>
      <c r="C147" s="51" t="s">
        <v>72</v>
      </c>
      <c r="D147" s="51" t="s">
        <v>21</v>
      </c>
      <c r="E147" s="51" t="s">
        <v>154</v>
      </c>
      <c r="F147" s="27">
        <v>1663026.33</v>
      </c>
      <c r="G147" s="27">
        <f>503609.19+119511.38</f>
        <v>623120.5700000001</v>
      </c>
      <c r="H147" s="41"/>
      <c r="I147" s="31"/>
    </row>
    <row r="148" spans="1:9" s="14" customFormat="1" ht="27.75" customHeight="1">
      <c r="A148" s="28" t="s">
        <v>64</v>
      </c>
      <c r="B148" s="15" t="s">
        <v>63</v>
      </c>
      <c r="C148" s="51" t="s">
        <v>72</v>
      </c>
      <c r="D148" s="15" t="s">
        <v>80</v>
      </c>
      <c r="E148" s="15" t="s">
        <v>11</v>
      </c>
      <c r="F148" s="27">
        <f>F149</f>
        <v>9854333.82</v>
      </c>
      <c r="G148" s="27">
        <f>G149</f>
        <v>3099152.5700000003</v>
      </c>
      <c r="H148" s="41"/>
      <c r="I148" s="33"/>
    </row>
    <row r="149" spans="1:9" s="14" customFormat="1" ht="27" customHeight="1">
      <c r="A149" s="28" t="s">
        <v>38</v>
      </c>
      <c r="B149" s="15" t="s">
        <v>63</v>
      </c>
      <c r="C149" s="15" t="s">
        <v>72</v>
      </c>
      <c r="D149" s="15" t="s">
        <v>80</v>
      </c>
      <c r="E149" s="15" t="s">
        <v>39</v>
      </c>
      <c r="F149" s="27">
        <v>9854333.82</v>
      </c>
      <c r="G149" s="27">
        <f>2003232.66+453355.94+55221.22+2591.74+78372.48+121219.15+235.92+384923.46</f>
        <v>3099152.5700000003</v>
      </c>
      <c r="H149" s="41"/>
      <c r="I149" s="33"/>
    </row>
    <row r="150" spans="1:9" s="14" customFormat="1" ht="90">
      <c r="A150" s="28" t="s">
        <v>391</v>
      </c>
      <c r="B150" s="51" t="s">
        <v>61</v>
      </c>
      <c r="C150" s="51" t="s">
        <v>72</v>
      </c>
      <c r="D150" s="51" t="s">
        <v>351</v>
      </c>
      <c r="E150" s="51" t="s">
        <v>11</v>
      </c>
      <c r="F150" s="27">
        <f>F151</f>
        <v>337000</v>
      </c>
      <c r="G150" s="27">
        <f>G151</f>
        <v>86277.07</v>
      </c>
      <c r="H150" s="41"/>
      <c r="I150" s="33"/>
    </row>
    <row r="151" spans="1:9" s="14" customFormat="1" ht="22.5">
      <c r="A151" s="28" t="s">
        <v>38</v>
      </c>
      <c r="B151" s="15" t="s">
        <v>63</v>
      </c>
      <c r="C151" s="15" t="s">
        <v>72</v>
      </c>
      <c r="D151" s="51" t="s">
        <v>351</v>
      </c>
      <c r="E151" s="51" t="s">
        <v>39</v>
      </c>
      <c r="F151" s="27">
        <v>337000</v>
      </c>
      <c r="G151" s="27">
        <v>86277.07</v>
      </c>
      <c r="H151" s="41"/>
      <c r="I151" s="33"/>
    </row>
    <row r="152" spans="1:9" s="14" customFormat="1" ht="26.25" customHeight="1">
      <c r="A152" s="28" t="s">
        <v>236</v>
      </c>
      <c r="B152" s="51" t="s">
        <v>63</v>
      </c>
      <c r="C152" s="51" t="s">
        <v>72</v>
      </c>
      <c r="D152" s="51" t="s">
        <v>254</v>
      </c>
      <c r="E152" s="51" t="s">
        <v>11</v>
      </c>
      <c r="F152" s="19">
        <f>F153</f>
        <v>4.22</v>
      </c>
      <c r="G152" s="19">
        <f>G153</f>
        <v>0</v>
      </c>
      <c r="H152" s="41"/>
      <c r="I152" s="33"/>
    </row>
    <row r="153" spans="1:9" s="14" customFormat="1" ht="22.5" customHeight="1">
      <c r="A153" s="28" t="s">
        <v>38</v>
      </c>
      <c r="B153" s="51" t="s">
        <v>63</v>
      </c>
      <c r="C153" s="51" t="s">
        <v>72</v>
      </c>
      <c r="D153" s="51" t="s">
        <v>254</v>
      </c>
      <c r="E153" s="51" t="s">
        <v>39</v>
      </c>
      <c r="F153" s="19">
        <v>4.22</v>
      </c>
      <c r="G153" s="19"/>
      <c r="H153" s="32"/>
      <c r="I153" s="33"/>
    </row>
    <row r="154" spans="1:9" s="14" customFormat="1" ht="36.75" customHeight="1">
      <c r="A154" s="28" t="s">
        <v>220</v>
      </c>
      <c r="B154" s="51" t="s">
        <v>63</v>
      </c>
      <c r="C154" s="51" t="s">
        <v>72</v>
      </c>
      <c r="D154" s="51" t="s">
        <v>255</v>
      </c>
      <c r="E154" s="51" t="s">
        <v>11</v>
      </c>
      <c r="F154" s="19">
        <f>F155</f>
        <v>244471.7</v>
      </c>
      <c r="G154" s="19">
        <f>72511.57+17848.01+77827</f>
        <v>168186.58000000002</v>
      </c>
      <c r="H154" s="41"/>
      <c r="I154" s="31"/>
    </row>
    <row r="155" spans="1:9" s="14" customFormat="1" ht="24.75" customHeight="1">
      <c r="A155" s="28" t="s">
        <v>38</v>
      </c>
      <c r="B155" s="51" t="s">
        <v>63</v>
      </c>
      <c r="C155" s="51" t="s">
        <v>72</v>
      </c>
      <c r="D155" s="51" t="s">
        <v>255</v>
      </c>
      <c r="E155" s="51" t="s">
        <v>39</v>
      </c>
      <c r="F155" s="19">
        <v>244471.7</v>
      </c>
      <c r="G155" s="19"/>
      <c r="H155" s="41"/>
      <c r="I155" s="31"/>
    </row>
    <row r="156" spans="1:9" s="14" customFormat="1" ht="22.5">
      <c r="A156" s="28" t="s">
        <v>58</v>
      </c>
      <c r="B156" s="51" t="s">
        <v>63</v>
      </c>
      <c r="C156" s="51" t="s">
        <v>72</v>
      </c>
      <c r="D156" s="51" t="s">
        <v>51</v>
      </c>
      <c r="E156" s="51" t="s">
        <v>11</v>
      </c>
      <c r="F156" s="19">
        <f>F157</f>
        <v>1606396.52</v>
      </c>
      <c r="G156" s="19">
        <f>G157</f>
        <v>1572782.36</v>
      </c>
      <c r="H156" s="41"/>
      <c r="I156" s="31"/>
    </row>
    <row r="157" spans="1:9" s="14" customFormat="1" ht="22.5">
      <c r="A157" s="28" t="s">
        <v>18</v>
      </c>
      <c r="B157" s="51" t="s">
        <v>63</v>
      </c>
      <c r="C157" s="51" t="s">
        <v>72</v>
      </c>
      <c r="D157" s="51" t="s">
        <v>51</v>
      </c>
      <c r="E157" s="51" t="s">
        <v>154</v>
      </c>
      <c r="F157" s="19">
        <v>1606396.52</v>
      </c>
      <c r="G157" s="19">
        <f>89236.67+17891.39+1132313.2+44904.1+81619+150000+56818</f>
        <v>1572782.36</v>
      </c>
      <c r="H157" s="41"/>
      <c r="I157" s="31"/>
    </row>
    <row r="158" spans="1:9" ht="22.5">
      <c r="A158" s="7" t="s">
        <v>74</v>
      </c>
      <c r="B158" s="9" t="s">
        <v>55</v>
      </c>
      <c r="C158" s="9" t="s">
        <v>10</v>
      </c>
      <c r="D158" s="9" t="s">
        <v>8</v>
      </c>
      <c r="E158" s="9" t="s">
        <v>11</v>
      </c>
      <c r="F158" s="24">
        <f>F159+F176</f>
        <v>35624176.65</v>
      </c>
      <c r="G158" s="24">
        <f>G159+G176</f>
        <v>13680387.909999996</v>
      </c>
      <c r="H158" s="41"/>
      <c r="I158" s="31"/>
    </row>
    <row r="159" spans="1:9" ht="12.75">
      <c r="A159" s="6" t="s">
        <v>73</v>
      </c>
      <c r="B159" s="10" t="s">
        <v>55</v>
      </c>
      <c r="C159" s="10" t="s">
        <v>9</v>
      </c>
      <c r="D159" s="10" t="s">
        <v>8</v>
      </c>
      <c r="E159" s="10" t="s">
        <v>11</v>
      </c>
      <c r="F159" s="21">
        <f>F160+F162+F164+F166+F168+F170+F172+F174</f>
        <v>32436890.65</v>
      </c>
      <c r="G159" s="21">
        <f>G160+G166+G168+G173+G164+G170+G174</f>
        <v>12569875.279999997</v>
      </c>
      <c r="H159" s="41"/>
      <c r="I159" s="31"/>
    </row>
    <row r="160" spans="1:9" s="14" customFormat="1" ht="22.5">
      <c r="A160" s="28" t="s">
        <v>64</v>
      </c>
      <c r="B160" s="51" t="s">
        <v>55</v>
      </c>
      <c r="C160" s="51" t="s">
        <v>9</v>
      </c>
      <c r="D160" s="51" t="s">
        <v>75</v>
      </c>
      <c r="E160" s="51" t="s">
        <v>11</v>
      </c>
      <c r="F160" s="19">
        <f>F161</f>
        <v>20202240</v>
      </c>
      <c r="G160" s="19">
        <f>G161+G162</f>
        <v>8236427.01</v>
      </c>
      <c r="H160" s="41"/>
      <c r="I160" s="31"/>
    </row>
    <row r="161" spans="1:9" s="14" customFormat="1" ht="22.5">
      <c r="A161" s="28" t="s">
        <v>38</v>
      </c>
      <c r="B161" s="51" t="s">
        <v>55</v>
      </c>
      <c r="C161" s="51" t="s">
        <v>9</v>
      </c>
      <c r="D161" s="51" t="s">
        <v>76</v>
      </c>
      <c r="E161" s="51" t="s">
        <v>39</v>
      </c>
      <c r="F161" s="19">
        <v>20202240</v>
      </c>
      <c r="G161" s="19">
        <f>4508642.71+3669.83+1126154.5+36614.67+270+969223.18+470749.79+192595.63+529633.16+78149+183469.9</f>
        <v>8099172.37</v>
      </c>
      <c r="H161" s="41"/>
      <c r="I161" s="31"/>
    </row>
    <row r="162" spans="1:9" s="14" customFormat="1" ht="22.5">
      <c r="A162" s="28" t="s">
        <v>64</v>
      </c>
      <c r="B162" s="51" t="s">
        <v>55</v>
      </c>
      <c r="C162" s="51" t="s">
        <v>9</v>
      </c>
      <c r="D162" s="51" t="s">
        <v>75</v>
      </c>
      <c r="E162" s="51" t="s">
        <v>11</v>
      </c>
      <c r="F162" s="19">
        <f>F163</f>
        <v>137254.64</v>
      </c>
      <c r="G162" s="19">
        <f>G163</f>
        <v>137254.64</v>
      </c>
      <c r="H162" s="41"/>
      <c r="I162" s="31"/>
    </row>
    <row r="163" spans="1:9" s="14" customFormat="1" ht="33.75">
      <c r="A163" s="28" t="s">
        <v>388</v>
      </c>
      <c r="B163" s="51" t="s">
        <v>55</v>
      </c>
      <c r="C163" s="51" t="s">
        <v>9</v>
      </c>
      <c r="D163" s="51" t="s">
        <v>75</v>
      </c>
      <c r="E163" s="51" t="s">
        <v>139</v>
      </c>
      <c r="F163" s="19">
        <v>137254.64</v>
      </c>
      <c r="G163" s="19">
        <v>137254.64</v>
      </c>
      <c r="H163" s="41"/>
      <c r="I163" s="31"/>
    </row>
    <row r="164" spans="1:9" s="14" customFormat="1" ht="90">
      <c r="A164" s="28" t="s">
        <v>391</v>
      </c>
      <c r="B164" s="51" t="s">
        <v>55</v>
      </c>
      <c r="C164" s="51" t="s">
        <v>9</v>
      </c>
      <c r="D164" s="51" t="s">
        <v>352</v>
      </c>
      <c r="E164" s="51" t="s">
        <v>11</v>
      </c>
      <c r="F164" s="19">
        <f>F165</f>
        <v>3442100</v>
      </c>
      <c r="G164" s="19">
        <f>G165</f>
        <v>1702669.7</v>
      </c>
      <c r="H164" s="41"/>
      <c r="I164" s="31"/>
    </row>
    <row r="165" spans="1:9" s="14" customFormat="1" ht="22.5">
      <c r="A165" s="28" t="s">
        <v>38</v>
      </c>
      <c r="B165" s="51" t="s">
        <v>55</v>
      </c>
      <c r="C165" s="51" t="s">
        <v>9</v>
      </c>
      <c r="D165" s="51" t="s">
        <v>352</v>
      </c>
      <c r="E165" s="51" t="s">
        <v>39</v>
      </c>
      <c r="F165" s="19">
        <v>3442100</v>
      </c>
      <c r="G165" s="19">
        <v>1702669.7</v>
      </c>
      <c r="H165" s="41"/>
      <c r="I165" s="31"/>
    </row>
    <row r="166" spans="1:9" s="14" customFormat="1" ht="22.5">
      <c r="A166" s="28" t="s">
        <v>64</v>
      </c>
      <c r="B166" s="51" t="s">
        <v>55</v>
      </c>
      <c r="C166" s="51" t="s">
        <v>9</v>
      </c>
      <c r="D166" s="51" t="s">
        <v>77</v>
      </c>
      <c r="E166" s="51" t="s">
        <v>11</v>
      </c>
      <c r="F166" s="19">
        <f>F167</f>
        <v>507800</v>
      </c>
      <c r="G166" s="19">
        <f>G167</f>
        <v>175125.43</v>
      </c>
      <c r="H166" s="40"/>
      <c r="I166" s="34"/>
    </row>
    <row r="167" spans="1:9" s="14" customFormat="1" ht="22.5">
      <c r="A167" s="28" t="s">
        <v>38</v>
      </c>
      <c r="B167" s="51" t="s">
        <v>55</v>
      </c>
      <c r="C167" s="51" t="s">
        <v>9</v>
      </c>
      <c r="D167" s="51" t="s">
        <v>77</v>
      </c>
      <c r="E167" s="51" t="s">
        <v>39</v>
      </c>
      <c r="F167" s="19">
        <v>507800</v>
      </c>
      <c r="G167" s="19">
        <f>109788.75+32705+4492.63+3350+11913.05+576+12300</f>
        <v>175125.43</v>
      </c>
      <c r="H167" s="41"/>
      <c r="I167" s="31"/>
    </row>
    <row r="168" spans="1:9" s="14" customFormat="1" ht="22.5">
      <c r="A168" s="28" t="s">
        <v>64</v>
      </c>
      <c r="B168" s="51" t="s">
        <v>55</v>
      </c>
      <c r="C168" s="51" t="s">
        <v>9</v>
      </c>
      <c r="D168" s="51" t="s">
        <v>78</v>
      </c>
      <c r="E168" s="51" t="s">
        <v>11</v>
      </c>
      <c r="F168" s="19">
        <f>F169</f>
        <v>6683196.01</v>
      </c>
      <c r="G168" s="19">
        <f>G169</f>
        <v>1998960.1299999997</v>
      </c>
      <c r="H168" s="41"/>
      <c r="I168" s="31"/>
    </row>
    <row r="169" spans="1:9" s="14" customFormat="1" ht="22.5">
      <c r="A169" s="28" t="s">
        <v>38</v>
      </c>
      <c r="B169" s="51" t="s">
        <v>55</v>
      </c>
      <c r="C169" s="51" t="s">
        <v>9</v>
      </c>
      <c r="D169" s="51" t="s">
        <v>78</v>
      </c>
      <c r="E169" s="51" t="s">
        <v>39</v>
      </c>
      <c r="F169" s="19">
        <v>6683196.01</v>
      </c>
      <c r="G169" s="19">
        <f>1474443.64+567.58+347742.7+23210.89+48+39216.23+50987.71+6095.9+10452+10285+35910.48</f>
        <v>1998960.1299999997</v>
      </c>
      <c r="H169" s="41"/>
      <c r="I169" s="31"/>
    </row>
    <row r="170" spans="1:9" s="14" customFormat="1" ht="90">
      <c r="A170" s="28" t="s">
        <v>391</v>
      </c>
      <c r="B170" s="51" t="s">
        <v>55</v>
      </c>
      <c r="C170" s="51" t="s">
        <v>9</v>
      </c>
      <c r="D170" s="51" t="s">
        <v>353</v>
      </c>
      <c r="E170" s="51" t="s">
        <v>11</v>
      </c>
      <c r="F170" s="19">
        <f>F171</f>
        <v>96400</v>
      </c>
      <c r="G170" s="19">
        <f>G171</f>
        <v>60075.93</v>
      </c>
      <c r="H170" s="41"/>
      <c r="I170" s="31"/>
    </row>
    <row r="171" spans="1:9" s="14" customFormat="1" ht="22.5">
      <c r="A171" s="28" t="s">
        <v>38</v>
      </c>
      <c r="B171" s="51" t="s">
        <v>55</v>
      </c>
      <c r="C171" s="51" t="s">
        <v>9</v>
      </c>
      <c r="D171" s="51" t="s">
        <v>353</v>
      </c>
      <c r="E171" s="51" t="s">
        <v>39</v>
      </c>
      <c r="F171" s="19">
        <v>96400</v>
      </c>
      <c r="G171" s="19">
        <v>60075.93</v>
      </c>
      <c r="H171" s="41"/>
      <c r="I171" s="31"/>
    </row>
    <row r="172" spans="1:9" s="14" customFormat="1" ht="45">
      <c r="A172" s="28" t="s">
        <v>392</v>
      </c>
      <c r="B172" s="51" t="s">
        <v>55</v>
      </c>
      <c r="C172" s="51" t="s">
        <v>9</v>
      </c>
      <c r="D172" s="51" t="s">
        <v>354</v>
      </c>
      <c r="E172" s="51" t="s">
        <v>11</v>
      </c>
      <c r="F172" s="19">
        <f>F173</f>
        <v>915200</v>
      </c>
      <c r="G172" s="19">
        <f>G173</f>
        <v>371638.03</v>
      </c>
      <c r="H172" s="41"/>
      <c r="I172" s="31"/>
    </row>
    <row r="173" spans="1:9" s="14" customFormat="1" ht="22.5">
      <c r="A173" s="28" t="s">
        <v>38</v>
      </c>
      <c r="B173" s="51" t="s">
        <v>55</v>
      </c>
      <c r="C173" s="51" t="s">
        <v>9</v>
      </c>
      <c r="D173" s="51" t="s">
        <v>354</v>
      </c>
      <c r="E173" s="51" t="s">
        <v>39</v>
      </c>
      <c r="F173" s="19">
        <v>915200</v>
      </c>
      <c r="G173" s="19">
        <f>168760.91+131158.5+71718.62</f>
        <v>371638.03</v>
      </c>
      <c r="H173" s="41"/>
      <c r="I173" s="31"/>
    </row>
    <row r="174" spans="1:9" s="14" customFormat="1" ht="34.5" customHeight="1">
      <c r="A174" s="28" t="s">
        <v>307</v>
      </c>
      <c r="B174" s="51" t="s">
        <v>55</v>
      </c>
      <c r="C174" s="51" t="s">
        <v>9</v>
      </c>
      <c r="D174" s="51" t="s">
        <v>306</v>
      </c>
      <c r="E174" s="51" t="s">
        <v>11</v>
      </c>
      <c r="F174" s="19">
        <f>F175</f>
        <v>452700</v>
      </c>
      <c r="G174" s="19">
        <f>G175</f>
        <v>24979.05</v>
      </c>
      <c r="H174" s="41"/>
      <c r="I174" s="31"/>
    </row>
    <row r="175" spans="1:9" s="14" customFormat="1" ht="22.5" customHeight="1">
      <c r="A175" s="28" t="s">
        <v>38</v>
      </c>
      <c r="B175" s="51" t="s">
        <v>55</v>
      </c>
      <c r="C175" s="51" t="s">
        <v>9</v>
      </c>
      <c r="D175" s="51" t="s">
        <v>306</v>
      </c>
      <c r="E175" s="51" t="s">
        <v>39</v>
      </c>
      <c r="F175" s="19">
        <v>452700</v>
      </c>
      <c r="G175" s="19">
        <v>24979.05</v>
      </c>
      <c r="H175" s="41"/>
      <c r="I175" s="31"/>
    </row>
    <row r="176" spans="1:9" s="14" customFormat="1" ht="33.75">
      <c r="A176" s="56" t="s">
        <v>79</v>
      </c>
      <c r="B176" s="57" t="s">
        <v>55</v>
      </c>
      <c r="C176" s="57" t="s">
        <v>31</v>
      </c>
      <c r="D176" s="57" t="s">
        <v>8</v>
      </c>
      <c r="E176" s="57" t="s">
        <v>11</v>
      </c>
      <c r="F176" s="59">
        <f>F177+F179</f>
        <v>3187286</v>
      </c>
      <c r="G176" s="59">
        <f>G177+G179</f>
        <v>1110512.63</v>
      </c>
      <c r="H176" s="41"/>
      <c r="I176" s="31"/>
    </row>
    <row r="177" spans="1:9" s="14" customFormat="1" ht="12.75">
      <c r="A177" s="28" t="s">
        <v>20</v>
      </c>
      <c r="B177" s="15" t="s">
        <v>55</v>
      </c>
      <c r="C177" s="15" t="s">
        <v>31</v>
      </c>
      <c r="D177" s="15" t="s">
        <v>21</v>
      </c>
      <c r="E177" s="15" t="s">
        <v>11</v>
      </c>
      <c r="F177" s="27">
        <f>F178</f>
        <v>911151</v>
      </c>
      <c r="G177" s="27">
        <f>G178</f>
        <v>296738.07</v>
      </c>
      <c r="H177" s="41"/>
      <c r="I177" s="31"/>
    </row>
    <row r="178" spans="1:9" s="14" customFormat="1" ht="22.5">
      <c r="A178" s="28" t="s">
        <v>18</v>
      </c>
      <c r="B178" s="15" t="s">
        <v>55</v>
      </c>
      <c r="C178" s="15" t="s">
        <v>31</v>
      </c>
      <c r="D178" s="15" t="s">
        <v>21</v>
      </c>
      <c r="E178" s="15" t="s">
        <v>154</v>
      </c>
      <c r="F178" s="27">
        <v>911151</v>
      </c>
      <c r="G178" s="27">
        <f>219073.16+200+55837.91+17188.77+18+600+3820.23</f>
        <v>296738.07</v>
      </c>
      <c r="H178" s="41"/>
      <c r="I178" s="31"/>
    </row>
    <row r="179" spans="1:9" s="14" customFormat="1" ht="22.5">
      <c r="A179" s="28" t="s">
        <v>64</v>
      </c>
      <c r="B179" s="51" t="s">
        <v>55</v>
      </c>
      <c r="C179" s="51" t="s">
        <v>31</v>
      </c>
      <c r="D179" s="51" t="s">
        <v>80</v>
      </c>
      <c r="E179" s="51" t="s">
        <v>11</v>
      </c>
      <c r="F179" s="19">
        <f>F180</f>
        <v>2276135</v>
      </c>
      <c r="G179" s="19">
        <f>G180</f>
        <v>813774.5599999999</v>
      </c>
      <c r="H179" s="41"/>
      <c r="I179" s="31"/>
    </row>
    <row r="180" spans="1:9" s="14" customFormat="1" ht="22.5">
      <c r="A180" s="28" t="s">
        <v>38</v>
      </c>
      <c r="B180" s="51" t="s">
        <v>55</v>
      </c>
      <c r="C180" s="51" t="s">
        <v>81</v>
      </c>
      <c r="D180" s="51" t="s">
        <v>80</v>
      </c>
      <c r="E180" s="51" t="s">
        <v>82</v>
      </c>
      <c r="F180" s="19">
        <v>2276135</v>
      </c>
      <c r="G180" s="19">
        <f>619960.57+74.75+138324.63+8756.7+6884+28729.56+1394+9650.35</f>
        <v>813774.5599999999</v>
      </c>
      <c r="H180" s="41"/>
      <c r="I180" s="31"/>
    </row>
    <row r="181" spans="1:9" ht="22.5">
      <c r="A181" s="7" t="s">
        <v>83</v>
      </c>
      <c r="B181" s="9" t="s">
        <v>72</v>
      </c>
      <c r="C181" s="9" t="s">
        <v>10</v>
      </c>
      <c r="D181" s="9" t="s">
        <v>8</v>
      </c>
      <c r="E181" s="9" t="s">
        <v>11</v>
      </c>
      <c r="F181" s="24">
        <f>F182+F195+F213+F216+F206</f>
        <v>112534411.95</v>
      </c>
      <c r="G181" s="24">
        <f>G182+G195+G213+G216+G206</f>
        <v>41721372.04000001</v>
      </c>
      <c r="H181" s="32"/>
      <c r="I181" s="33"/>
    </row>
    <row r="182" spans="1:9" ht="12.75">
      <c r="A182" s="6" t="s">
        <v>84</v>
      </c>
      <c r="B182" s="10" t="s">
        <v>72</v>
      </c>
      <c r="C182" s="10" t="s">
        <v>9</v>
      </c>
      <c r="D182" s="10" t="s">
        <v>8</v>
      </c>
      <c r="E182" s="10" t="s">
        <v>11</v>
      </c>
      <c r="F182" s="21">
        <f>F183+F185+F187+F189+F191+F193</f>
        <v>52272091.04</v>
      </c>
      <c r="G182" s="21">
        <f>G183+G185+G187+G189+G191+G193</f>
        <v>21358168.96</v>
      </c>
      <c r="H182" s="32"/>
      <c r="I182" s="33"/>
    </row>
    <row r="183" spans="1:9" ht="129" customHeight="1">
      <c r="A183" s="64" t="s">
        <v>396</v>
      </c>
      <c r="B183" s="11" t="s">
        <v>72</v>
      </c>
      <c r="C183" s="11" t="s">
        <v>9</v>
      </c>
      <c r="D183" s="13" t="s">
        <v>322</v>
      </c>
      <c r="E183" s="13" t="s">
        <v>11</v>
      </c>
      <c r="F183" s="27">
        <f>F184</f>
        <v>300000</v>
      </c>
      <c r="G183" s="27">
        <f>G184</f>
        <v>300000</v>
      </c>
      <c r="H183" s="32"/>
      <c r="I183" s="33"/>
    </row>
    <row r="184" spans="1:9" ht="22.5">
      <c r="A184" s="4" t="s">
        <v>64</v>
      </c>
      <c r="B184" s="11" t="s">
        <v>72</v>
      </c>
      <c r="C184" s="11" t="s">
        <v>9</v>
      </c>
      <c r="D184" s="13" t="s">
        <v>322</v>
      </c>
      <c r="E184" s="13" t="s">
        <v>308</v>
      </c>
      <c r="F184" s="27">
        <v>300000</v>
      </c>
      <c r="G184" s="27">
        <v>300000</v>
      </c>
      <c r="H184" s="32"/>
      <c r="I184" s="33"/>
    </row>
    <row r="185" spans="1:9" ht="22.5">
      <c r="A185" s="4" t="s">
        <v>64</v>
      </c>
      <c r="B185" s="11" t="s">
        <v>72</v>
      </c>
      <c r="C185" s="11" t="s">
        <v>9</v>
      </c>
      <c r="D185" s="11" t="s">
        <v>85</v>
      </c>
      <c r="E185" s="11" t="s">
        <v>11</v>
      </c>
      <c r="F185" s="17">
        <f>F186</f>
        <v>46971325.24</v>
      </c>
      <c r="G185" s="17">
        <f>G186</f>
        <v>18378746.7</v>
      </c>
      <c r="H185" s="41"/>
      <c r="I185" s="31"/>
    </row>
    <row r="186" spans="1:9" ht="22.5">
      <c r="A186" s="4" t="s">
        <v>38</v>
      </c>
      <c r="B186" s="11" t="s">
        <v>72</v>
      </c>
      <c r="C186" s="11" t="s">
        <v>9</v>
      </c>
      <c r="D186" s="11" t="s">
        <v>85</v>
      </c>
      <c r="E186" s="11" t="s">
        <v>39</v>
      </c>
      <c r="F186" s="17">
        <f>212645+46758680.24</f>
        <v>46971325.24</v>
      </c>
      <c r="G186" s="17">
        <f>212645+6667807.94+1697981.05+195871.93+421147.58+2452106.66+830647.1+95802.19+208162.96+5600124.48-3550.19</f>
        <v>18378746.7</v>
      </c>
      <c r="H186" s="41"/>
      <c r="I186" s="31"/>
    </row>
    <row r="187" spans="1:9" ht="22.5">
      <c r="A187" s="4" t="s">
        <v>64</v>
      </c>
      <c r="B187" s="11" t="s">
        <v>72</v>
      </c>
      <c r="C187" s="11" t="s">
        <v>9</v>
      </c>
      <c r="D187" s="11" t="s">
        <v>85</v>
      </c>
      <c r="E187" s="11" t="s">
        <v>11</v>
      </c>
      <c r="F187" s="17">
        <f>F188</f>
        <v>91565.8</v>
      </c>
      <c r="G187" s="17">
        <f>G188</f>
        <v>0</v>
      </c>
      <c r="H187" s="41"/>
      <c r="I187" s="31"/>
    </row>
    <row r="188" spans="1:9" ht="45" customHeight="1">
      <c r="A188" s="4" t="s">
        <v>397</v>
      </c>
      <c r="B188" s="11" t="s">
        <v>72</v>
      </c>
      <c r="C188" s="11" t="s">
        <v>9</v>
      </c>
      <c r="D188" s="11" t="s">
        <v>85</v>
      </c>
      <c r="E188" s="11" t="s">
        <v>275</v>
      </c>
      <c r="F188" s="17">
        <v>91565.8</v>
      </c>
      <c r="G188" s="17"/>
      <c r="H188" s="41"/>
      <c r="I188" s="31"/>
    </row>
    <row r="189" spans="1:9" ht="33.75">
      <c r="A189" s="4" t="s">
        <v>389</v>
      </c>
      <c r="B189" s="11" t="s">
        <v>72</v>
      </c>
      <c r="C189" s="11" t="s">
        <v>9</v>
      </c>
      <c r="D189" s="11" t="s">
        <v>355</v>
      </c>
      <c r="E189" s="11" t="s">
        <v>11</v>
      </c>
      <c r="F189" s="17">
        <f>F190</f>
        <v>2000000</v>
      </c>
      <c r="G189" s="17">
        <f>G190</f>
        <v>1000000</v>
      </c>
      <c r="H189" s="41"/>
      <c r="I189" s="31"/>
    </row>
    <row r="190" spans="1:9" ht="22.5">
      <c r="A190" s="4" t="s">
        <v>38</v>
      </c>
      <c r="B190" s="11" t="s">
        <v>72</v>
      </c>
      <c r="C190" s="11" t="s">
        <v>9</v>
      </c>
      <c r="D190" s="11" t="s">
        <v>355</v>
      </c>
      <c r="E190" s="11" t="s">
        <v>39</v>
      </c>
      <c r="F190" s="17">
        <v>2000000</v>
      </c>
      <c r="G190" s="17">
        <v>1000000</v>
      </c>
      <c r="H190" s="41"/>
      <c r="I190" s="31"/>
    </row>
    <row r="191" spans="1:9" ht="90">
      <c r="A191" s="4" t="s">
        <v>391</v>
      </c>
      <c r="B191" s="11" t="s">
        <v>72</v>
      </c>
      <c r="C191" s="11" t="s">
        <v>9</v>
      </c>
      <c r="D191" s="11" t="s">
        <v>356</v>
      </c>
      <c r="E191" s="11" t="s">
        <v>11</v>
      </c>
      <c r="F191" s="17">
        <f>F192</f>
        <v>2727000</v>
      </c>
      <c r="G191" s="17">
        <f>G192</f>
        <v>1497222.26</v>
      </c>
      <c r="H191" s="41"/>
      <c r="I191" s="31"/>
    </row>
    <row r="192" spans="1:9" ht="22.5">
      <c r="A192" s="4" t="s">
        <v>38</v>
      </c>
      <c r="B192" s="11" t="s">
        <v>72</v>
      </c>
      <c r="C192" s="11" t="s">
        <v>9</v>
      </c>
      <c r="D192" s="11" t="s">
        <v>356</v>
      </c>
      <c r="E192" s="11" t="s">
        <v>39</v>
      </c>
      <c r="F192" s="17">
        <v>2727000</v>
      </c>
      <c r="G192" s="17">
        <v>1497222.26</v>
      </c>
      <c r="H192" s="41"/>
      <c r="I192" s="31"/>
    </row>
    <row r="193" spans="1:9" ht="22.5">
      <c r="A193" s="4" t="s">
        <v>64</v>
      </c>
      <c r="B193" s="11" t="s">
        <v>72</v>
      </c>
      <c r="C193" s="11" t="s">
        <v>9</v>
      </c>
      <c r="D193" s="11" t="s">
        <v>357</v>
      </c>
      <c r="E193" s="11" t="s">
        <v>11</v>
      </c>
      <c r="F193" s="17">
        <f>F194</f>
        <v>182200</v>
      </c>
      <c r="G193" s="17">
        <f>G194</f>
        <v>182200</v>
      </c>
      <c r="H193" s="41"/>
      <c r="I193" s="31"/>
    </row>
    <row r="194" spans="1:9" ht="22.5">
      <c r="A194" s="4" t="s">
        <v>38</v>
      </c>
      <c r="B194" s="11" t="s">
        <v>72</v>
      </c>
      <c r="C194" s="11" t="s">
        <v>9</v>
      </c>
      <c r="D194" s="11" t="s">
        <v>357</v>
      </c>
      <c r="E194" s="11" t="s">
        <v>39</v>
      </c>
      <c r="F194" s="17">
        <v>182200</v>
      </c>
      <c r="G194" s="17">
        <v>182200</v>
      </c>
      <c r="H194" s="38"/>
      <c r="I194" s="39"/>
    </row>
    <row r="195" spans="1:9" ht="12.75">
      <c r="A195" s="6" t="s">
        <v>86</v>
      </c>
      <c r="B195" s="10" t="s">
        <v>72</v>
      </c>
      <c r="C195" s="10" t="s">
        <v>13</v>
      </c>
      <c r="D195" s="10" t="s">
        <v>8</v>
      </c>
      <c r="E195" s="10" t="s">
        <v>11</v>
      </c>
      <c r="F195" s="21">
        <f>F196+F198+F200+F202+F204</f>
        <v>37188569.76</v>
      </c>
      <c r="G195" s="21">
        <f>G196+G198+G200+G202+G204</f>
        <v>13810196.270000001</v>
      </c>
      <c r="H195" s="40"/>
      <c r="I195" s="34"/>
    </row>
    <row r="196" spans="1:9" ht="22.5">
      <c r="A196" s="4" t="s">
        <v>64</v>
      </c>
      <c r="B196" s="11" t="s">
        <v>72</v>
      </c>
      <c r="C196" s="11" t="s">
        <v>13</v>
      </c>
      <c r="D196" s="11" t="s">
        <v>87</v>
      </c>
      <c r="E196" s="11" t="s">
        <v>11</v>
      </c>
      <c r="F196" s="17">
        <f>F197</f>
        <v>26363556</v>
      </c>
      <c r="G196" s="17">
        <f>G197</f>
        <v>9013963.96</v>
      </c>
      <c r="H196" s="41"/>
      <c r="I196" s="31"/>
    </row>
    <row r="197" spans="1:9" ht="22.5">
      <c r="A197" s="4" t="s">
        <v>38</v>
      </c>
      <c r="B197" s="11" t="s">
        <v>72</v>
      </c>
      <c r="C197" s="11" t="s">
        <v>13</v>
      </c>
      <c r="D197" s="11" t="s">
        <v>87</v>
      </c>
      <c r="E197" s="11" t="s">
        <v>39</v>
      </c>
      <c r="F197" s="17">
        <v>26363556</v>
      </c>
      <c r="G197" s="65">
        <f>5764264.56+1447316.95+40000+71120.85+27817.69+44480.84+430144.7+1188818.37</f>
        <v>9013963.96</v>
      </c>
      <c r="H197" s="41"/>
      <c r="I197" s="31"/>
    </row>
    <row r="198" spans="1:9" ht="90">
      <c r="A198" s="4" t="s">
        <v>391</v>
      </c>
      <c r="B198" s="11" t="s">
        <v>72</v>
      </c>
      <c r="C198" s="11" t="s">
        <v>13</v>
      </c>
      <c r="D198" s="11" t="s">
        <v>358</v>
      </c>
      <c r="E198" s="11" t="s">
        <v>11</v>
      </c>
      <c r="F198" s="17">
        <f>F199</f>
        <v>1055800</v>
      </c>
      <c r="G198" s="17">
        <f>G199</f>
        <v>537265.35</v>
      </c>
      <c r="H198" s="41"/>
      <c r="I198" s="31"/>
    </row>
    <row r="199" spans="1:9" ht="22.5">
      <c r="A199" s="4" t="s">
        <v>38</v>
      </c>
      <c r="B199" s="11" t="s">
        <v>72</v>
      </c>
      <c r="C199" s="11" t="s">
        <v>13</v>
      </c>
      <c r="D199" s="11" t="s">
        <v>358</v>
      </c>
      <c r="E199" s="11" t="s">
        <v>39</v>
      </c>
      <c r="F199" s="17">
        <v>1055800</v>
      </c>
      <c r="G199" s="17">
        <v>537265.35</v>
      </c>
      <c r="H199" s="41"/>
      <c r="I199" s="31"/>
    </row>
    <row r="200" spans="1:9" ht="22.5">
      <c r="A200" s="4" t="s">
        <v>64</v>
      </c>
      <c r="B200" s="11" t="s">
        <v>72</v>
      </c>
      <c r="C200" s="11" t="s">
        <v>13</v>
      </c>
      <c r="D200" s="11" t="s">
        <v>88</v>
      </c>
      <c r="E200" s="11" t="s">
        <v>11</v>
      </c>
      <c r="F200" s="17">
        <f>F201</f>
        <v>6698098.76</v>
      </c>
      <c r="G200" s="17">
        <f>G201</f>
        <v>2613685.9099999997</v>
      </c>
      <c r="H200" s="40"/>
      <c r="I200" s="34"/>
    </row>
    <row r="201" spans="1:9" ht="22.5">
      <c r="A201" s="4" t="s">
        <v>38</v>
      </c>
      <c r="B201" s="11" t="s">
        <v>72</v>
      </c>
      <c r="C201" s="11" t="s">
        <v>13</v>
      </c>
      <c r="D201" s="11" t="s">
        <v>88</v>
      </c>
      <c r="E201" s="11" t="s">
        <v>39</v>
      </c>
      <c r="F201" s="17">
        <v>6698098.76</v>
      </c>
      <c r="G201" s="17">
        <f>1649711.08+391114.39+10533.27+45783.43+438000+16654.34+61889.4</f>
        <v>2613685.9099999997</v>
      </c>
      <c r="H201" s="32"/>
      <c r="I201" s="33"/>
    </row>
    <row r="202" spans="1:9" ht="90">
      <c r="A202" s="4" t="s">
        <v>391</v>
      </c>
      <c r="B202" s="11" t="s">
        <v>72</v>
      </c>
      <c r="C202" s="11" t="s">
        <v>13</v>
      </c>
      <c r="D202" s="11" t="s">
        <v>359</v>
      </c>
      <c r="E202" s="11" t="s">
        <v>11</v>
      </c>
      <c r="F202" s="17">
        <f>F203</f>
        <v>799500</v>
      </c>
      <c r="G202" s="17">
        <f>G203</f>
        <v>342922.05</v>
      </c>
      <c r="H202" s="32"/>
      <c r="I202" s="33"/>
    </row>
    <row r="203" spans="1:9" s="14" customFormat="1" ht="22.5">
      <c r="A203" s="4" t="s">
        <v>38</v>
      </c>
      <c r="B203" s="51" t="s">
        <v>72</v>
      </c>
      <c r="C203" s="51" t="s">
        <v>13</v>
      </c>
      <c r="D203" s="11" t="s">
        <v>359</v>
      </c>
      <c r="E203" s="51" t="s">
        <v>39</v>
      </c>
      <c r="F203" s="19">
        <v>799500</v>
      </c>
      <c r="G203" s="19">
        <v>342922.05</v>
      </c>
      <c r="H203" s="32"/>
      <c r="I203" s="33"/>
    </row>
    <row r="204" spans="1:9" ht="56.25">
      <c r="A204" s="4" t="s">
        <v>398</v>
      </c>
      <c r="B204" s="11" t="s">
        <v>72</v>
      </c>
      <c r="C204" s="11" t="s">
        <v>13</v>
      </c>
      <c r="D204" s="11" t="s">
        <v>151</v>
      </c>
      <c r="E204" s="11" t="s">
        <v>11</v>
      </c>
      <c r="F204" s="17">
        <f>F205</f>
        <v>2271615</v>
      </c>
      <c r="G204" s="17">
        <f>G205</f>
        <v>1302359</v>
      </c>
      <c r="H204" s="41"/>
      <c r="I204" s="31"/>
    </row>
    <row r="205" spans="1:9" ht="22.5">
      <c r="A205" s="4" t="s">
        <v>38</v>
      </c>
      <c r="B205" s="11" t="s">
        <v>72</v>
      </c>
      <c r="C205" s="11" t="s">
        <v>13</v>
      </c>
      <c r="D205" s="11" t="s">
        <v>151</v>
      </c>
      <c r="E205" s="11" t="s">
        <v>39</v>
      </c>
      <c r="F205" s="17">
        <v>2271615</v>
      </c>
      <c r="G205" s="17">
        <f>1037592+264767</f>
        <v>1302359</v>
      </c>
      <c r="H205" s="41"/>
      <c r="I205" s="31"/>
    </row>
    <row r="206" spans="1:9" ht="13.5" customHeight="1">
      <c r="A206" s="6" t="s">
        <v>277</v>
      </c>
      <c r="B206" s="10" t="s">
        <v>72</v>
      </c>
      <c r="C206" s="10" t="s">
        <v>25</v>
      </c>
      <c r="D206" s="10" t="s">
        <v>8</v>
      </c>
      <c r="E206" s="10" t="s">
        <v>11</v>
      </c>
      <c r="F206" s="21">
        <f>F207+F209+F211</f>
        <v>20913905</v>
      </c>
      <c r="G206" s="21">
        <f>G207+G209+G211</f>
        <v>5570794.92</v>
      </c>
      <c r="H206" s="41"/>
      <c r="I206" s="31"/>
    </row>
    <row r="207" spans="1:9" ht="25.5" customHeight="1">
      <c r="A207" s="4" t="s">
        <v>64</v>
      </c>
      <c r="B207" s="11" t="s">
        <v>72</v>
      </c>
      <c r="C207" s="11" t="s">
        <v>25</v>
      </c>
      <c r="D207" s="11" t="s">
        <v>276</v>
      </c>
      <c r="E207" s="11" t="s">
        <v>11</v>
      </c>
      <c r="F207" s="17">
        <f>F208</f>
        <v>7340675</v>
      </c>
      <c r="G207" s="17">
        <f>G208</f>
        <v>2033730.97</v>
      </c>
      <c r="H207" s="41"/>
      <c r="I207" s="31"/>
    </row>
    <row r="208" spans="1:9" ht="25.5" customHeight="1">
      <c r="A208" s="4" t="s">
        <v>38</v>
      </c>
      <c r="B208" s="11" t="s">
        <v>72</v>
      </c>
      <c r="C208" s="11" t="s">
        <v>25</v>
      </c>
      <c r="D208" s="11" t="s">
        <v>85</v>
      </c>
      <c r="E208" s="11" t="s">
        <v>39</v>
      </c>
      <c r="F208" s="17">
        <v>7340675</v>
      </c>
      <c r="G208" s="17">
        <f>1272576.95+309901.3+5000+85.92+8650+437516.8</f>
        <v>2033730.97</v>
      </c>
      <c r="H208" s="41"/>
      <c r="I208" s="31"/>
    </row>
    <row r="209" spans="1:9" s="14" customFormat="1" ht="25.5" customHeight="1">
      <c r="A209" s="28" t="s">
        <v>64</v>
      </c>
      <c r="B209" s="51" t="s">
        <v>72</v>
      </c>
      <c r="C209" s="51" t="s">
        <v>25</v>
      </c>
      <c r="D209" s="51" t="s">
        <v>87</v>
      </c>
      <c r="E209" s="51" t="s">
        <v>11</v>
      </c>
      <c r="F209" s="19">
        <f>F210</f>
        <v>11012245</v>
      </c>
      <c r="G209" s="19">
        <f>G210</f>
        <v>3229926.3200000003</v>
      </c>
      <c r="H209" s="41"/>
      <c r="I209" s="31"/>
    </row>
    <row r="210" spans="1:9" s="14" customFormat="1" ht="22.5">
      <c r="A210" s="28" t="s">
        <v>38</v>
      </c>
      <c r="B210" s="51" t="s">
        <v>72</v>
      </c>
      <c r="C210" s="51" t="s">
        <v>25</v>
      </c>
      <c r="D210" s="51" t="s">
        <v>87</v>
      </c>
      <c r="E210" s="51" t="s">
        <v>39</v>
      </c>
      <c r="F210" s="19">
        <v>11012245</v>
      </c>
      <c r="G210" s="19">
        <f>2502956.43+570787.14+46714.75+9618+99850</f>
        <v>3229926.3200000003</v>
      </c>
      <c r="H210" s="41"/>
      <c r="I210" s="31"/>
    </row>
    <row r="211" spans="1:9" s="14" customFormat="1" ht="56.25">
      <c r="A211" s="28" t="s">
        <v>398</v>
      </c>
      <c r="B211" s="51" t="s">
        <v>72</v>
      </c>
      <c r="C211" s="51" t="s">
        <v>25</v>
      </c>
      <c r="D211" s="51" t="s">
        <v>151</v>
      </c>
      <c r="E211" s="51" t="s">
        <v>11</v>
      </c>
      <c r="F211" s="19">
        <f>F212</f>
        <v>2560985</v>
      </c>
      <c r="G211" s="19">
        <f>G212</f>
        <v>307137.63</v>
      </c>
      <c r="H211" s="41"/>
      <c r="I211" s="31"/>
    </row>
    <row r="212" spans="1:9" s="14" customFormat="1" ht="22.5">
      <c r="A212" s="28" t="s">
        <v>38</v>
      </c>
      <c r="B212" s="51" t="s">
        <v>72</v>
      </c>
      <c r="C212" s="51" t="s">
        <v>25</v>
      </c>
      <c r="D212" s="51" t="s">
        <v>151</v>
      </c>
      <c r="E212" s="51" t="s">
        <v>39</v>
      </c>
      <c r="F212" s="19">
        <v>2560985</v>
      </c>
      <c r="G212" s="19">
        <f>249097.63+58040</f>
        <v>307137.63</v>
      </c>
      <c r="H212" s="41"/>
      <c r="I212" s="31"/>
    </row>
    <row r="213" spans="1:9" ht="12.75">
      <c r="A213" s="6" t="s">
        <v>89</v>
      </c>
      <c r="B213" s="10" t="s">
        <v>72</v>
      </c>
      <c r="C213" s="10" t="s">
        <v>55</v>
      </c>
      <c r="D213" s="10" t="s">
        <v>8</v>
      </c>
      <c r="E213" s="10" t="s">
        <v>11</v>
      </c>
      <c r="F213" s="21">
        <f>F214</f>
        <v>649000</v>
      </c>
      <c r="G213" s="21">
        <f>G214</f>
        <v>179400</v>
      </c>
      <c r="H213" s="41"/>
      <c r="I213" s="31"/>
    </row>
    <row r="214" spans="1:9" ht="32.25" customHeight="1">
      <c r="A214" s="4" t="s">
        <v>237</v>
      </c>
      <c r="B214" s="11" t="s">
        <v>72</v>
      </c>
      <c r="C214" s="11" t="s">
        <v>55</v>
      </c>
      <c r="D214" s="11" t="s">
        <v>278</v>
      </c>
      <c r="E214" s="11" t="s">
        <v>11</v>
      </c>
      <c r="F214" s="17">
        <f>F215</f>
        <v>649000</v>
      </c>
      <c r="G214" s="17">
        <f>G215</f>
        <v>179400</v>
      </c>
      <c r="H214" s="41"/>
      <c r="I214" s="31"/>
    </row>
    <row r="215" spans="1:9" ht="21.75" customHeight="1">
      <c r="A215" s="4" t="s">
        <v>18</v>
      </c>
      <c r="B215" s="11" t="s">
        <v>72</v>
      </c>
      <c r="C215" s="11" t="s">
        <v>55</v>
      </c>
      <c r="D215" s="11" t="s">
        <v>278</v>
      </c>
      <c r="E215" s="11" t="s">
        <v>154</v>
      </c>
      <c r="F215" s="17">
        <v>649000</v>
      </c>
      <c r="G215" s="17">
        <v>179400</v>
      </c>
      <c r="H215" s="40"/>
      <c r="I215" s="34"/>
    </row>
    <row r="216" spans="1:9" ht="33.75">
      <c r="A216" s="6" t="s">
        <v>90</v>
      </c>
      <c r="B216" s="10" t="s">
        <v>72</v>
      </c>
      <c r="C216" s="10" t="s">
        <v>91</v>
      </c>
      <c r="D216" s="10" t="s">
        <v>8</v>
      </c>
      <c r="E216" s="10" t="s">
        <v>11</v>
      </c>
      <c r="F216" s="21">
        <f>F217+F219</f>
        <v>1510846.15</v>
      </c>
      <c r="G216" s="21">
        <f>G217+G219</f>
        <v>802811.89</v>
      </c>
      <c r="H216" s="41"/>
      <c r="I216" s="31"/>
    </row>
    <row r="217" spans="1:9" ht="22.5">
      <c r="A217" s="4" t="s">
        <v>64</v>
      </c>
      <c r="B217" s="11" t="s">
        <v>72</v>
      </c>
      <c r="C217" s="11" t="s">
        <v>91</v>
      </c>
      <c r="D217" s="11" t="s">
        <v>80</v>
      </c>
      <c r="E217" s="11" t="s">
        <v>11</v>
      </c>
      <c r="F217" s="17">
        <f>F218</f>
        <v>1509500</v>
      </c>
      <c r="G217" s="17">
        <f>G218</f>
        <v>802811.89</v>
      </c>
      <c r="H217" s="32"/>
      <c r="I217" s="33"/>
    </row>
    <row r="218" spans="1:9" ht="22.5">
      <c r="A218" s="4" t="s">
        <v>38</v>
      </c>
      <c r="B218" s="11" t="s">
        <v>72</v>
      </c>
      <c r="C218" s="11" t="s">
        <v>91</v>
      </c>
      <c r="D218" s="11" t="s">
        <v>80</v>
      </c>
      <c r="E218" s="11" t="s">
        <v>39</v>
      </c>
      <c r="F218" s="17">
        <v>1509500</v>
      </c>
      <c r="G218" s="17">
        <f>648053.24+154758.65</f>
        <v>802811.89</v>
      </c>
      <c r="H218" s="32"/>
      <c r="I218" s="33"/>
    </row>
    <row r="219" spans="1:9" ht="12.75">
      <c r="A219" s="4" t="s">
        <v>218</v>
      </c>
      <c r="B219" s="11" t="s">
        <v>72</v>
      </c>
      <c r="C219" s="11" t="s">
        <v>91</v>
      </c>
      <c r="D219" s="11" t="s">
        <v>315</v>
      </c>
      <c r="E219" s="11" t="s">
        <v>11</v>
      </c>
      <c r="F219" s="17">
        <f>F220</f>
        <v>1346.15</v>
      </c>
      <c r="G219" s="17">
        <f>G220</f>
        <v>0</v>
      </c>
      <c r="H219" s="32"/>
      <c r="I219" s="33"/>
    </row>
    <row r="220" spans="1:9" ht="33.75">
      <c r="A220" s="4" t="s">
        <v>237</v>
      </c>
      <c r="B220" s="11" t="s">
        <v>72</v>
      </c>
      <c r="C220" s="11" t="s">
        <v>91</v>
      </c>
      <c r="D220" s="11" t="s">
        <v>315</v>
      </c>
      <c r="E220" s="11" t="s">
        <v>360</v>
      </c>
      <c r="F220" s="17">
        <v>1346.15</v>
      </c>
      <c r="G220" s="17"/>
      <c r="H220" s="32"/>
      <c r="I220" s="33"/>
    </row>
    <row r="221" spans="1:9" ht="12.75">
      <c r="A221" s="7" t="s">
        <v>92</v>
      </c>
      <c r="B221" s="9" t="s">
        <v>91</v>
      </c>
      <c r="C221" s="9" t="s">
        <v>10</v>
      </c>
      <c r="D221" s="9" t="s">
        <v>8</v>
      </c>
      <c r="E221" s="9" t="s">
        <v>11</v>
      </c>
      <c r="F221" s="24">
        <f>F222+F225+F230+F273+F282</f>
        <v>194171125.88000003</v>
      </c>
      <c r="G221" s="24">
        <f>G222+G225+G230+G273+G282</f>
        <v>90367399.21</v>
      </c>
      <c r="H221" s="40"/>
      <c r="I221" s="34"/>
    </row>
    <row r="222" spans="1:9" ht="12.75">
      <c r="A222" s="6" t="s">
        <v>94</v>
      </c>
      <c r="B222" s="10" t="s">
        <v>91</v>
      </c>
      <c r="C222" s="10" t="s">
        <v>9</v>
      </c>
      <c r="D222" s="10" t="s">
        <v>8</v>
      </c>
      <c r="E222" s="10" t="s">
        <v>11</v>
      </c>
      <c r="F222" s="21">
        <f>F223</f>
        <v>1401400</v>
      </c>
      <c r="G222" s="21">
        <f>G223</f>
        <v>595847.79</v>
      </c>
      <c r="H222" s="41"/>
      <c r="I222" s="31"/>
    </row>
    <row r="223" spans="1:9" ht="33.75">
      <c r="A223" s="4" t="s">
        <v>399</v>
      </c>
      <c r="B223" s="11" t="s">
        <v>91</v>
      </c>
      <c r="C223" s="11" t="s">
        <v>9</v>
      </c>
      <c r="D223" s="11" t="s">
        <v>93</v>
      </c>
      <c r="E223" s="11" t="s">
        <v>11</v>
      </c>
      <c r="F223" s="17">
        <f>F224</f>
        <v>1401400</v>
      </c>
      <c r="G223" s="17">
        <f>G224</f>
        <v>595847.79</v>
      </c>
      <c r="H223" s="41"/>
      <c r="I223" s="31"/>
    </row>
    <row r="224" spans="1:9" ht="12.75">
      <c r="A224" s="4" t="s">
        <v>48</v>
      </c>
      <c r="B224" s="11" t="s">
        <v>91</v>
      </c>
      <c r="C224" s="11" t="s">
        <v>9</v>
      </c>
      <c r="D224" s="11" t="s">
        <v>96</v>
      </c>
      <c r="E224" s="11" t="s">
        <v>49</v>
      </c>
      <c r="F224" s="17">
        <v>1401400</v>
      </c>
      <c r="G224" s="17">
        <v>595847.79</v>
      </c>
      <c r="H224" s="41"/>
      <c r="I224" s="31"/>
    </row>
    <row r="225" spans="1:9" ht="18" customHeight="1">
      <c r="A225" s="6" t="s">
        <v>97</v>
      </c>
      <c r="B225" s="10" t="s">
        <v>91</v>
      </c>
      <c r="C225" s="10" t="s">
        <v>13</v>
      </c>
      <c r="D225" s="10" t="s">
        <v>8</v>
      </c>
      <c r="E225" s="10" t="s">
        <v>11</v>
      </c>
      <c r="F225" s="21">
        <f>F226+F228</f>
        <v>13525740.77</v>
      </c>
      <c r="G225" s="21">
        <f>G226+G228</f>
        <v>5718338.67</v>
      </c>
      <c r="H225" s="41"/>
      <c r="I225" s="31"/>
    </row>
    <row r="226" spans="1:9" ht="22.5">
      <c r="A226" s="4" t="s">
        <v>400</v>
      </c>
      <c r="B226" s="11" t="s">
        <v>91</v>
      </c>
      <c r="C226" s="11" t="s">
        <v>13</v>
      </c>
      <c r="D226" s="11" t="s">
        <v>98</v>
      </c>
      <c r="E226" s="11" t="s">
        <v>11</v>
      </c>
      <c r="F226" s="17">
        <f>F227</f>
        <v>78540.85</v>
      </c>
      <c r="G226" s="17">
        <f>G227</f>
        <v>55540.85</v>
      </c>
      <c r="H226" s="41"/>
      <c r="I226" s="31"/>
    </row>
    <row r="227" spans="1:9" ht="22.5">
      <c r="A227" s="4" t="s">
        <v>38</v>
      </c>
      <c r="B227" s="11" t="s">
        <v>91</v>
      </c>
      <c r="C227" s="11" t="s">
        <v>13</v>
      </c>
      <c r="D227" s="11" t="s">
        <v>98</v>
      </c>
      <c r="E227" s="11" t="s">
        <v>39</v>
      </c>
      <c r="F227" s="17">
        <v>78540.85</v>
      </c>
      <c r="G227" s="17">
        <f>9000+29000+17540.85</f>
        <v>55540.85</v>
      </c>
      <c r="H227" s="41"/>
      <c r="I227" s="31"/>
    </row>
    <row r="228" spans="1:9" ht="22.5">
      <c r="A228" s="4" t="s">
        <v>401</v>
      </c>
      <c r="B228" s="11" t="s">
        <v>91</v>
      </c>
      <c r="C228" s="11" t="s">
        <v>13</v>
      </c>
      <c r="D228" s="11" t="s">
        <v>361</v>
      </c>
      <c r="E228" s="11" t="s">
        <v>11</v>
      </c>
      <c r="F228" s="17">
        <f>F229</f>
        <v>13447199.92</v>
      </c>
      <c r="G228" s="17">
        <f>G229</f>
        <v>5662797.82</v>
      </c>
      <c r="H228" s="41"/>
      <c r="I228" s="31"/>
    </row>
    <row r="229" spans="1:9" ht="22.5">
      <c r="A229" s="4" t="s">
        <v>400</v>
      </c>
      <c r="B229" s="11" t="s">
        <v>91</v>
      </c>
      <c r="C229" s="11" t="s">
        <v>13</v>
      </c>
      <c r="D229" s="11" t="s">
        <v>361</v>
      </c>
      <c r="E229" s="11" t="s">
        <v>39</v>
      </c>
      <c r="F229" s="17">
        <f>6115729.92+7331470</f>
        <v>13447199.92</v>
      </c>
      <c r="G229" s="17">
        <f>1743776.56+7600+467278.33+12792.81+125031.49+76129.95+32307.49+24000+663134.29+1616820.8+412145+18202.65+34876+31529.76+24567.3+99865.46+19000+35468.22+218271.71</f>
        <v>5662797.82</v>
      </c>
      <c r="H229" s="41"/>
      <c r="I229" s="31"/>
    </row>
    <row r="230" spans="1:9" ht="12.75">
      <c r="A230" s="6" t="s">
        <v>99</v>
      </c>
      <c r="B230" s="10" t="s">
        <v>91</v>
      </c>
      <c r="C230" s="10" t="s">
        <v>19</v>
      </c>
      <c r="D230" s="10" t="s">
        <v>8</v>
      </c>
      <c r="E230" s="10" t="s">
        <v>11</v>
      </c>
      <c r="F230" s="21">
        <f>F231+F233+F235+F237+F239+F241+F243+F245+F247+F249+F251+F253+F255+F257+F259+F261+F263+F265+F267+F269+F271</f>
        <v>145179914.87</v>
      </c>
      <c r="G230" s="21">
        <f>G231+G233+G235+G237+G239+G241+G243+G245+G247+G249+G251+G253+G255+G257+G259+G261+G263+G265+G267+G269+G271</f>
        <v>71980560.85</v>
      </c>
      <c r="H230" s="38"/>
      <c r="I230" s="39"/>
    </row>
    <row r="231" spans="1:9" ht="34.5" customHeight="1">
      <c r="A231" s="4" t="s">
        <v>238</v>
      </c>
      <c r="B231" s="13" t="s">
        <v>91</v>
      </c>
      <c r="C231" s="13" t="s">
        <v>19</v>
      </c>
      <c r="D231" s="13" t="s">
        <v>207</v>
      </c>
      <c r="E231" s="13" t="s">
        <v>11</v>
      </c>
      <c r="F231" s="27">
        <f>F232</f>
        <v>2061100</v>
      </c>
      <c r="G231" s="27">
        <f>G232</f>
        <v>2061100</v>
      </c>
      <c r="H231" s="40"/>
      <c r="I231" s="34"/>
    </row>
    <row r="232" spans="1:9" ht="45" customHeight="1">
      <c r="A232" s="4" t="s">
        <v>239</v>
      </c>
      <c r="B232" s="13" t="s">
        <v>91</v>
      </c>
      <c r="C232" s="13" t="s">
        <v>19</v>
      </c>
      <c r="D232" s="13" t="s">
        <v>207</v>
      </c>
      <c r="E232" s="13" t="s">
        <v>208</v>
      </c>
      <c r="F232" s="27">
        <v>2061100</v>
      </c>
      <c r="G232" s="27">
        <f>2061100</f>
        <v>2061100</v>
      </c>
      <c r="H232" s="41"/>
      <c r="I232" s="31"/>
    </row>
    <row r="233" spans="1:9" ht="42.75" customHeight="1">
      <c r="A233" s="4" t="s">
        <v>402</v>
      </c>
      <c r="B233" s="11" t="s">
        <v>91</v>
      </c>
      <c r="C233" s="11" t="s">
        <v>19</v>
      </c>
      <c r="D233" s="11" t="s">
        <v>362</v>
      </c>
      <c r="E233" s="11" t="s">
        <v>11</v>
      </c>
      <c r="F233" s="18">
        <f>F234</f>
        <v>4690800</v>
      </c>
      <c r="G233" s="18">
        <f>G234</f>
        <v>2475698.82</v>
      </c>
      <c r="H233" s="41"/>
      <c r="I233" s="31"/>
    </row>
    <row r="234" spans="1:9" ht="15" customHeight="1">
      <c r="A234" s="4" t="s">
        <v>48</v>
      </c>
      <c r="B234" s="11" t="s">
        <v>91</v>
      </c>
      <c r="C234" s="11" t="s">
        <v>19</v>
      </c>
      <c r="D234" s="11" t="s">
        <v>362</v>
      </c>
      <c r="E234" s="11" t="s">
        <v>49</v>
      </c>
      <c r="F234" s="17">
        <v>4690800</v>
      </c>
      <c r="G234" s="17">
        <v>2475698.82</v>
      </c>
      <c r="H234" s="41"/>
      <c r="I234" s="31"/>
    </row>
    <row r="235" spans="1:9" ht="45">
      <c r="A235" s="4" t="s">
        <v>403</v>
      </c>
      <c r="B235" s="11" t="s">
        <v>91</v>
      </c>
      <c r="C235" s="11" t="s">
        <v>19</v>
      </c>
      <c r="D235" s="11" t="s">
        <v>363</v>
      </c>
      <c r="E235" s="11" t="s">
        <v>11</v>
      </c>
      <c r="F235" s="17">
        <f>F236</f>
        <v>8800100</v>
      </c>
      <c r="G235" s="17">
        <f>G236</f>
        <v>1857814.45</v>
      </c>
      <c r="H235" s="40"/>
      <c r="I235" s="34"/>
    </row>
    <row r="236" spans="1:9" ht="14.25" customHeight="1">
      <c r="A236" s="4" t="s">
        <v>48</v>
      </c>
      <c r="B236" s="11" t="s">
        <v>91</v>
      </c>
      <c r="C236" s="11" t="s">
        <v>19</v>
      </c>
      <c r="D236" s="11" t="s">
        <v>363</v>
      </c>
      <c r="E236" s="11" t="s">
        <v>49</v>
      </c>
      <c r="F236" s="17">
        <v>8800100</v>
      </c>
      <c r="G236" s="17">
        <v>1857814.45</v>
      </c>
      <c r="H236" s="32"/>
      <c r="I236" s="33"/>
    </row>
    <row r="237" spans="1:9" ht="56.25">
      <c r="A237" s="4" t="s">
        <v>404</v>
      </c>
      <c r="B237" s="11" t="s">
        <v>91</v>
      </c>
      <c r="C237" s="11" t="s">
        <v>19</v>
      </c>
      <c r="D237" s="11" t="s">
        <v>364</v>
      </c>
      <c r="E237" s="11" t="s">
        <v>11</v>
      </c>
      <c r="F237" s="17">
        <f>F238</f>
        <v>15899000</v>
      </c>
      <c r="G237" s="17">
        <f>G238</f>
        <v>9539399.3</v>
      </c>
      <c r="H237" s="32"/>
      <c r="I237" s="33"/>
    </row>
    <row r="238" spans="1:9" ht="15.75" customHeight="1">
      <c r="A238" s="4" t="s">
        <v>48</v>
      </c>
      <c r="B238" s="11" t="s">
        <v>91</v>
      </c>
      <c r="C238" s="11" t="s">
        <v>19</v>
      </c>
      <c r="D238" s="11" t="s">
        <v>364</v>
      </c>
      <c r="E238" s="11" t="s">
        <v>49</v>
      </c>
      <c r="F238" s="17">
        <v>15899000</v>
      </c>
      <c r="G238" s="17">
        <v>9539399.3</v>
      </c>
      <c r="H238" s="32"/>
      <c r="I238" s="33"/>
    </row>
    <row r="239" spans="1:9" ht="54.75" customHeight="1">
      <c r="A239" s="4" t="s">
        <v>175</v>
      </c>
      <c r="B239" s="11" t="s">
        <v>91</v>
      </c>
      <c r="C239" s="11" t="s">
        <v>19</v>
      </c>
      <c r="D239" s="11" t="s">
        <v>365</v>
      </c>
      <c r="E239" s="11" t="s">
        <v>11</v>
      </c>
      <c r="F239" s="17">
        <f>F240</f>
        <v>276976.16</v>
      </c>
      <c r="G239" s="17">
        <f>G240</f>
        <v>72141.21</v>
      </c>
      <c r="H239" s="32"/>
      <c r="I239" s="33"/>
    </row>
    <row r="240" spans="1:9" ht="15.75" customHeight="1">
      <c r="A240" s="4" t="s">
        <v>48</v>
      </c>
      <c r="B240" s="11" t="s">
        <v>91</v>
      </c>
      <c r="C240" s="11" t="s">
        <v>19</v>
      </c>
      <c r="D240" s="11" t="s">
        <v>365</v>
      </c>
      <c r="E240" s="11" t="s">
        <v>49</v>
      </c>
      <c r="F240" s="17">
        <v>276976.16</v>
      </c>
      <c r="G240" s="17">
        <v>72141.21</v>
      </c>
      <c r="H240" s="32"/>
      <c r="I240" s="33"/>
    </row>
    <row r="241" spans="1:9" ht="45">
      <c r="A241" s="4" t="s">
        <v>177</v>
      </c>
      <c r="B241" s="11" t="s">
        <v>91</v>
      </c>
      <c r="C241" s="11" t="s">
        <v>19</v>
      </c>
      <c r="D241" s="11" t="s">
        <v>366</v>
      </c>
      <c r="E241" s="11" t="s">
        <v>11</v>
      </c>
      <c r="F241" s="17">
        <f>F242</f>
        <v>2936100</v>
      </c>
      <c r="G241" s="17">
        <f>G242</f>
        <v>1115586.3</v>
      </c>
      <c r="H241" s="41"/>
      <c r="I241" s="33"/>
    </row>
    <row r="242" spans="1:9" ht="12.75">
      <c r="A242" s="4" t="s">
        <v>48</v>
      </c>
      <c r="B242" s="11" t="s">
        <v>91</v>
      </c>
      <c r="C242" s="11" t="s">
        <v>19</v>
      </c>
      <c r="D242" s="11" t="s">
        <v>366</v>
      </c>
      <c r="E242" s="11" t="s">
        <v>49</v>
      </c>
      <c r="F242" s="17">
        <v>2936100</v>
      </c>
      <c r="G242" s="17">
        <v>1115586.3</v>
      </c>
      <c r="H242" s="41"/>
      <c r="I242" s="31"/>
    </row>
    <row r="243" spans="1:9" ht="90">
      <c r="A243" s="4" t="s">
        <v>180</v>
      </c>
      <c r="B243" s="11" t="s">
        <v>91</v>
      </c>
      <c r="C243" s="11" t="s">
        <v>19</v>
      </c>
      <c r="D243" s="11" t="s">
        <v>178</v>
      </c>
      <c r="E243" s="11" t="s">
        <v>11</v>
      </c>
      <c r="F243" s="17">
        <f>F244</f>
        <v>216160</v>
      </c>
      <c r="G243" s="17">
        <f>G244</f>
        <v>216160</v>
      </c>
      <c r="H243" s="41"/>
      <c r="I243" s="31"/>
    </row>
    <row r="244" spans="1:9" ht="12.75">
      <c r="A244" s="4" t="s">
        <v>48</v>
      </c>
      <c r="B244" s="11" t="s">
        <v>91</v>
      </c>
      <c r="C244" s="11" t="s">
        <v>19</v>
      </c>
      <c r="D244" s="11" t="s">
        <v>178</v>
      </c>
      <c r="E244" s="11" t="s">
        <v>101</v>
      </c>
      <c r="F244" s="17">
        <v>216160</v>
      </c>
      <c r="G244" s="17">
        <v>216160</v>
      </c>
      <c r="H244" s="41"/>
      <c r="I244" s="31"/>
    </row>
    <row r="245" spans="1:9" ht="45">
      <c r="A245" s="4" t="s">
        <v>181</v>
      </c>
      <c r="B245" s="11" t="s">
        <v>91</v>
      </c>
      <c r="C245" s="11" t="s">
        <v>19</v>
      </c>
      <c r="D245" s="11" t="s">
        <v>100</v>
      </c>
      <c r="E245" s="11" t="s">
        <v>11</v>
      </c>
      <c r="F245" s="17">
        <f>F246</f>
        <v>1597200</v>
      </c>
      <c r="G245" s="17">
        <f>G246</f>
        <v>673875</v>
      </c>
      <c r="H245" s="41"/>
      <c r="I245" s="31"/>
    </row>
    <row r="246" spans="1:9" ht="12.75">
      <c r="A246" s="4" t="s">
        <v>48</v>
      </c>
      <c r="B246" s="11" t="s">
        <v>91</v>
      </c>
      <c r="C246" s="11" t="s">
        <v>19</v>
      </c>
      <c r="D246" s="11" t="s">
        <v>100</v>
      </c>
      <c r="E246" s="11" t="s">
        <v>101</v>
      </c>
      <c r="F246" s="17">
        <v>1597200</v>
      </c>
      <c r="G246" s="17">
        <v>673875</v>
      </c>
      <c r="H246" s="41"/>
      <c r="I246" s="31"/>
    </row>
    <row r="247" spans="1:9" ht="33.75">
      <c r="A247" s="4" t="s">
        <v>281</v>
      </c>
      <c r="B247" s="11" t="s">
        <v>91</v>
      </c>
      <c r="C247" s="11" t="s">
        <v>19</v>
      </c>
      <c r="D247" s="11" t="s">
        <v>282</v>
      </c>
      <c r="E247" s="11" t="s">
        <v>11</v>
      </c>
      <c r="F247" s="17">
        <f>F248</f>
        <v>10973700</v>
      </c>
      <c r="G247" s="17">
        <f>G248</f>
        <v>4414500</v>
      </c>
      <c r="H247" s="41"/>
      <c r="I247" s="31"/>
    </row>
    <row r="248" spans="1:9" ht="12.75">
      <c r="A248" s="4" t="s">
        <v>48</v>
      </c>
      <c r="B248" s="11" t="s">
        <v>91</v>
      </c>
      <c r="C248" s="11" t="s">
        <v>19</v>
      </c>
      <c r="D248" s="11" t="s">
        <v>282</v>
      </c>
      <c r="E248" s="11" t="s">
        <v>49</v>
      </c>
      <c r="F248" s="17">
        <v>10973700</v>
      </c>
      <c r="G248" s="17">
        <v>4414500</v>
      </c>
      <c r="H248" s="41"/>
      <c r="I248" s="31"/>
    </row>
    <row r="249" spans="1:9" ht="22.5">
      <c r="A249" s="4" t="s">
        <v>405</v>
      </c>
      <c r="B249" s="11" t="s">
        <v>91</v>
      </c>
      <c r="C249" s="11" t="s">
        <v>19</v>
      </c>
      <c r="D249" s="11" t="s">
        <v>107</v>
      </c>
      <c r="E249" s="11" t="s">
        <v>11</v>
      </c>
      <c r="F249" s="17">
        <f>F250</f>
        <v>19992000</v>
      </c>
      <c r="G249" s="17">
        <f>G250</f>
        <v>8080829.13</v>
      </c>
      <c r="H249" s="41"/>
      <c r="I249" s="31"/>
    </row>
    <row r="250" spans="1:9" ht="12.75">
      <c r="A250" s="4" t="s">
        <v>48</v>
      </c>
      <c r="B250" s="11" t="s">
        <v>91</v>
      </c>
      <c r="C250" s="11" t="s">
        <v>19</v>
      </c>
      <c r="D250" s="11" t="s">
        <v>107</v>
      </c>
      <c r="E250" s="11" t="s">
        <v>49</v>
      </c>
      <c r="F250" s="17">
        <v>19992000</v>
      </c>
      <c r="G250" s="17">
        <v>8080829.13</v>
      </c>
      <c r="H250" s="41"/>
      <c r="I250" s="31"/>
    </row>
    <row r="251" spans="1:9" ht="33.75">
      <c r="A251" s="4" t="s">
        <v>406</v>
      </c>
      <c r="B251" s="11" t="s">
        <v>91</v>
      </c>
      <c r="C251" s="11" t="s">
        <v>19</v>
      </c>
      <c r="D251" s="11" t="s">
        <v>252</v>
      </c>
      <c r="E251" s="11" t="s">
        <v>11</v>
      </c>
      <c r="F251" s="17">
        <f>F252</f>
        <v>9578072.71</v>
      </c>
      <c r="G251" s="17">
        <f>G252</f>
        <v>6169147.21</v>
      </c>
      <c r="H251" s="41"/>
      <c r="I251" s="31"/>
    </row>
    <row r="252" spans="1:9" ht="12.75">
      <c r="A252" s="4" t="s">
        <v>48</v>
      </c>
      <c r="B252" s="11" t="s">
        <v>91</v>
      </c>
      <c r="C252" s="11" t="s">
        <v>19</v>
      </c>
      <c r="D252" s="11" t="s">
        <v>252</v>
      </c>
      <c r="E252" s="11" t="s">
        <v>49</v>
      </c>
      <c r="F252" s="17">
        <v>9578072.71</v>
      </c>
      <c r="G252" s="17">
        <v>6169147.21</v>
      </c>
      <c r="H252" s="41"/>
      <c r="I252" s="31"/>
    </row>
    <row r="253" spans="1:9" ht="22.5">
      <c r="A253" s="4" t="s">
        <v>407</v>
      </c>
      <c r="B253" s="11" t="s">
        <v>91</v>
      </c>
      <c r="C253" s="11" t="s">
        <v>19</v>
      </c>
      <c r="D253" s="11" t="s">
        <v>367</v>
      </c>
      <c r="E253" s="11" t="s">
        <v>11</v>
      </c>
      <c r="F253" s="19">
        <f>F254</f>
        <v>19482700</v>
      </c>
      <c r="G253" s="19">
        <f>G254</f>
        <v>9312139.74</v>
      </c>
      <c r="H253" s="41"/>
      <c r="I253" s="31"/>
    </row>
    <row r="254" spans="1:9" ht="12.75">
      <c r="A254" s="4" t="s">
        <v>48</v>
      </c>
      <c r="B254" s="11" t="s">
        <v>91</v>
      </c>
      <c r="C254" s="11" t="s">
        <v>19</v>
      </c>
      <c r="D254" s="11" t="s">
        <v>367</v>
      </c>
      <c r="E254" s="11" t="s">
        <v>49</v>
      </c>
      <c r="F254" s="19">
        <v>19482700</v>
      </c>
      <c r="G254" s="19">
        <v>9312139.74</v>
      </c>
      <c r="H254" s="41"/>
      <c r="I254" s="31"/>
    </row>
    <row r="255" spans="1:9" ht="27.75" customHeight="1">
      <c r="A255" s="4" t="s">
        <v>408</v>
      </c>
      <c r="B255" s="11" t="s">
        <v>91</v>
      </c>
      <c r="C255" s="11" t="s">
        <v>19</v>
      </c>
      <c r="D255" s="11" t="s">
        <v>368</v>
      </c>
      <c r="E255" s="11" t="s">
        <v>11</v>
      </c>
      <c r="F255" s="19">
        <f>F256</f>
        <v>10146200</v>
      </c>
      <c r="G255" s="19">
        <f>G256</f>
        <v>3825656.05</v>
      </c>
      <c r="H255" s="41"/>
      <c r="I255" s="31"/>
    </row>
    <row r="256" spans="1:9" ht="12.75">
      <c r="A256" s="4" t="s">
        <v>48</v>
      </c>
      <c r="B256" s="11" t="s">
        <v>91</v>
      </c>
      <c r="C256" s="11" t="s">
        <v>19</v>
      </c>
      <c r="D256" s="11" t="s">
        <v>368</v>
      </c>
      <c r="E256" s="11" t="s">
        <v>49</v>
      </c>
      <c r="F256" s="19">
        <v>10146200</v>
      </c>
      <c r="G256" s="19">
        <v>3825656.05</v>
      </c>
      <c r="H256" s="41"/>
      <c r="I256" s="31"/>
    </row>
    <row r="257" spans="1:9" ht="25.5" customHeight="1">
      <c r="A257" s="4" t="s">
        <v>409</v>
      </c>
      <c r="B257" s="11" t="s">
        <v>91</v>
      </c>
      <c r="C257" s="11" t="s">
        <v>19</v>
      </c>
      <c r="D257" s="11" t="s">
        <v>369</v>
      </c>
      <c r="E257" s="11" t="s">
        <v>11</v>
      </c>
      <c r="F257" s="19">
        <f>F258</f>
        <v>18412500</v>
      </c>
      <c r="G257" s="19">
        <f>G258</f>
        <v>4254759.5</v>
      </c>
      <c r="H257" s="41"/>
      <c r="I257" s="31"/>
    </row>
    <row r="258" spans="1:9" s="14" customFormat="1" ht="12.75">
      <c r="A258" s="4" t="s">
        <v>48</v>
      </c>
      <c r="B258" s="51" t="s">
        <v>91</v>
      </c>
      <c r="C258" s="51" t="s">
        <v>19</v>
      </c>
      <c r="D258" s="11" t="s">
        <v>369</v>
      </c>
      <c r="E258" s="51" t="s">
        <v>49</v>
      </c>
      <c r="F258" s="19">
        <v>18412500</v>
      </c>
      <c r="G258" s="19">
        <v>4254759.5</v>
      </c>
      <c r="H258" s="41"/>
      <c r="I258" s="31"/>
    </row>
    <row r="259" spans="1:9" ht="33.75">
      <c r="A259" s="4" t="s">
        <v>410</v>
      </c>
      <c r="B259" s="11" t="s">
        <v>91</v>
      </c>
      <c r="C259" s="11" t="s">
        <v>19</v>
      </c>
      <c r="D259" s="11" t="s">
        <v>370</v>
      </c>
      <c r="E259" s="11" t="s">
        <v>11</v>
      </c>
      <c r="F259" s="19">
        <f>F260</f>
        <v>709800</v>
      </c>
      <c r="G259" s="19">
        <f>G260</f>
        <v>335753.84</v>
      </c>
      <c r="H259" s="41"/>
      <c r="I259" s="31"/>
    </row>
    <row r="260" spans="1:9" ht="12.75">
      <c r="A260" s="4" t="s">
        <v>48</v>
      </c>
      <c r="B260" s="11" t="s">
        <v>91</v>
      </c>
      <c r="C260" s="11" t="s">
        <v>19</v>
      </c>
      <c r="D260" s="11" t="s">
        <v>370</v>
      </c>
      <c r="E260" s="11" t="s">
        <v>49</v>
      </c>
      <c r="F260" s="19">
        <v>709800</v>
      </c>
      <c r="G260" s="19">
        <v>335753.84</v>
      </c>
      <c r="H260" s="41"/>
      <c r="I260" s="31"/>
    </row>
    <row r="261" spans="1:9" ht="45">
      <c r="A261" s="66" t="s">
        <v>411</v>
      </c>
      <c r="B261" s="11" t="s">
        <v>91</v>
      </c>
      <c r="C261" s="11" t="s">
        <v>19</v>
      </c>
      <c r="D261" s="11" t="s">
        <v>371</v>
      </c>
      <c r="E261" s="11" t="s">
        <v>11</v>
      </c>
      <c r="F261" s="19">
        <f>F262</f>
        <v>1716800</v>
      </c>
      <c r="G261" s="19">
        <f>G262</f>
        <v>530394.3</v>
      </c>
      <c r="H261" s="41"/>
      <c r="I261" s="31"/>
    </row>
    <row r="262" spans="1:9" ht="12.75">
      <c r="A262" s="4" t="s">
        <v>48</v>
      </c>
      <c r="B262" s="11" t="s">
        <v>91</v>
      </c>
      <c r="C262" s="11" t="s">
        <v>19</v>
      </c>
      <c r="D262" s="11" t="s">
        <v>371</v>
      </c>
      <c r="E262" s="11" t="s">
        <v>49</v>
      </c>
      <c r="F262" s="19">
        <v>1716800</v>
      </c>
      <c r="G262" s="19">
        <v>530394.3</v>
      </c>
      <c r="H262" s="41"/>
      <c r="I262" s="31"/>
    </row>
    <row r="263" spans="1:9" ht="22.5">
      <c r="A263" s="4" t="s">
        <v>240</v>
      </c>
      <c r="B263" s="11" t="s">
        <v>91</v>
      </c>
      <c r="C263" s="11" t="s">
        <v>19</v>
      </c>
      <c r="D263" s="11" t="s">
        <v>110</v>
      </c>
      <c r="E263" s="11" t="s">
        <v>11</v>
      </c>
      <c r="F263" s="19">
        <f>F264</f>
        <v>450000</v>
      </c>
      <c r="G263" s="19">
        <f>G264</f>
        <v>165000</v>
      </c>
      <c r="H263" s="41"/>
      <c r="I263" s="31"/>
    </row>
    <row r="264" spans="1:9" ht="15.75" customHeight="1">
      <c r="A264" s="4" t="s">
        <v>48</v>
      </c>
      <c r="B264" s="11" t="s">
        <v>91</v>
      </c>
      <c r="C264" s="11" t="s">
        <v>19</v>
      </c>
      <c r="D264" s="11" t="s">
        <v>110</v>
      </c>
      <c r="E264" s="11" t="s">
        <v>49</v>
      </c>
      <c r="F264" s="19">
        <v>450000</v>
      </c>
      <c r="G264" s="19">
        <f>165000</f>
        <v>165000</v>
      </c>
      <c r="H264" s="41"/>
      <c r="I264" s="31"/>
    </row>
    <row r="265" spans="1:9" ht="22.5">
      <c r="A265" s="4" t="s">
        <v>240</v>
      </c>
      <c r="B265" s="11" t="s">
        <v>91</v>
      </c>
      <c r="C265" s="11" t="s">
        <v>19</v>
      </c>
      <c r="D265" s="11" t="s">
        <v>110</v>
      </c>
      <c r="E265" s="11" t="s">
        <v>11</v>
      </c>
      <c r="F265" s="19">
        <f>F266</f>
        <v>694900</v>
      </c>
      <c r="G265" s="19">
        <f>G266</f>
        <v>334800</v>
      </c>
      <c r="H265" s="41"/>
      <c r="I265" s="31"/>
    </row>
    <row r="266" spans="1:9" ht="14.25" customHeight="1">
      <c r="A266" s="4" t="s">
        <v>330</v>
      </c>
      <c r="B266" s="11" t="s">
        <v>91</v>
      </c>
      <c r="C266" s="11" t="s">
        <v>19</v>
      </c>
      <c r="D266" s="11" t="s">
        <v>110</v>
      </c>
      <c r="E266" s="11" t="s">
        <v>283</v>
      </c>
      <c r="F266" s="19">
        <v>694900</v>
      </c>
      <c r="G266" s="19">
        <f>155700+179100</f>
        <v>334800</v>
      </c>
      <c r="H266" s="41"/>
      <c r="I266" s="31"/>
    </row>
    <row r="267" spans="1:9" ht="48.75" customHeight="1">
      <c r="A267" s="4" t="s">
        <v>301</v>
      </c>
      <c r="B267" s="11" t="s">
        <v>91</v>
      </c>
      <c r="C267" s="11" t="s">
        <v>19</v>
      </c>
      <c r="D267" s="11" t="s">
        <v>300</v>
      </c>
      <c r="E267" s="11" t="s">
        <v>11</v>
      </c>
      <c r="F267" s="19">
        <f>F268</f>
        <v>12336504</v>
      </c>
      <c r="G267" s="19">
        <f>G268</f>
        <v>12336504</v>
      </c>
      <c r="H267" s="41"/>
      <c r="I267" s="31"/>
    </row>
    <row r="268" spans="1:9" ht="22.5">
      <c r="A268" s="4" t="s">
        <v>240</v>
      </c>
      <c r="B268" s="11" t="s">
        <v>91</v>
      </c>
      <c r="C268" s="11" t="s">
        <v>19</v>
      </c>
      <c r="D268" s="11" t="s">
        <v>300</v>
      </c>
      <c r="E268" s="11" t="s">
        <v>209</v>
      </c>
      <c r="F268" s="19">
        <v>12336504</v>
      </c>
      <c r="G268" s="19">
        <f>12336504</f>
        <v>12336504</v>
      </c>
      <c r="H268" s="41"/>
      <c r="I268" s="31"/>
    </row>
    <row r="269" spans="1:9" ht="22.5">
      <c r="A269" s="4" t="s">
        <v>331</v>
      </c>
      <c r="B269" s="11" t="s">
        <v>91</v>
      </c>
      <c r="C269" s="11" t="s">
        <v>19</v>
      </c>
      <c r="D269" s="11" t="s">
        <v>315</v>
      </c>
      <c r="E269" s="11" t="s">
        <v>11</v>
      </c>
      <c r="F269" s="19">
        <f>F270</f>
        <v>2741400</v>
      </c>
      <c r="G269" s="19">
        <f>G270</f>
        <v>2741400</v>
      </c>
      <c r="H269" s="41"/>
      <c r="I269" s="31"/>
    </row>
    <row r="270" spans="1:9" ht="22.5">
      <c r="A270" s="4" t="s">
        <v>240</v>
      </c>
      <c r="B270" s="11" t="s">
        <v>91</v>
      </c>
      <c r="C270" s="11" t="s">
        <v>19</v>
      </c>
      <c r="D270" s="11" t="s">
        <v>315</v>
      </c>
      <c r="E270" s="11" t="s">
        <v>209</v>
      </c>
      <c r="F270" s="19">
        <v>2741400</v>
      </c>
      <c r="G270" s="19">
        <v>2741400</v>
      </c>
      <c r="H270" s="41"/>
      <c r="I270" s="31"/>
    </row>
    <row r="271" spans="1:9" ht="22.5">
      <c r="A271" s="4" t="s">
        <v>58</v>
      </c>
      <c r="B271" s="11" t="s">
        <v>91</v>
      </c>
      <c r="C271" s="11" t="s">
        <v>19</v>
      </c>
      <c r="D271" s="11" t="s">
        <v>51</v>
      </c>
      <c r="E271" s="11" t="s">
        <v>11</v>
      </c>
      <c r="F271" s="19">
        <f>F272</f>
        <v>1467902</v>
      </c>
      <c r="G271" s="19">
        <f>G272</f>
        <v>1467902</v>
      </c>
      <c r="H271" s="41"/>
      <c r="I271" s="31"/>
    </row>
    <row r="272" spans="1:9" ht="22.5">
      <c r="A272" s="4" t="s">
        <v>240</v>
      </c>
      <c r="B272" s="11" t="s">
        <v>91</v>
      </c>
      <c r="C272" s="11" t="s">
        <v>19</v>
      </c>
      <c r="D272" s="11" t="s">
        <v>152</v>
      </c>
      <c r="E272" s="11" t="s">
        <v>209</v>
      </c>
      <c r="F272" s="19">
        <v>1467902</v>
      </c>
      <c r="G272" s="19">
        <v>1467902</v>
      </c>
      <c r="H272" s="41"/>
      <c r="I272" s="31"/>
    </row>
    <row r="273" spans="1:9" ht="12.75">
      <c r="A273" s="6" t="s">
        <v>112</v>
      </c>
      <c r="B273" s="10" t="s">
        <v>91</v>
      </c>
      <c r="C273" s="10" t="s">
        <v>25</v>
      </c>
      <c r="D273" s="10" t="s">
        <v>8</v>
      </c>
      <c r="E273" s="10" t="s">
        <v>11</v>
      </c>
      <c r="F273" s="21">
        <f>F274+F276+F278+F280</f>
        <v>21690304.15</v>
      </c>
      <c r="G273" s="21">
        <f>G274+G276+G278+G280</f>
        <v>7284158.31</v>
      </c>
      <c r="H273" s="41"/>
      <c r="I273" s="31"/>
    </row>
    <row r="274" spans="1:9" ht="78.75" customHeight="1">
      <c r="A274" s="4" t="s">
        <v>242</v>
      </c>
      <c r="B274" s="11" t="s">
        <v>91</v>
      </c>
      <c r="C274" s="11" t="s">
        <v>25</v>
      </c>
      <c r="D274" s="11" t="s">
        <v>372</v>
      </c>
      <c r="E274" s="11" t="s">
        <v>11</v>
      </c>
      <c r="F274" s="17">
        <f>F275</f>
        <v>5041008.51</v>
      </c>
      <c r="G274" s="17">
        <f>G275</f>
        <v>1088040.22</v>
      </c>
      <c r="H274" s="41"/>
      <c r="I274" s="31"/>
    </row>
    <row r="275" spans="1:9" ht="15" customHeight="1">
      <c r="A275" s="4" t="s">
        <v>48</v>
      </c>
      <c r="B275" s="11" t="s">
        <v>91</v>
      </c>
      <c r="C275" s="11" t="s">
        <v>25</v>
      </c>
      <c r="D275" s="11" t="s">
        <v>372</v>
      </c>
      <c r="E275" s="11" t="s">
        <v>49</v>
      </c>
      <c r="F275" s="17">
        <v>5041008.51</v>
      </c>
      <c r="G275" s="17">
        <v>1088040.22</v>
      </c>
      <c r="H275" s="41"/>
      <c r="I275" s="31"/>
    </row>
    <row r="276" spans="1:9" ht="45">
      <c r="A276" s="4" t="s">
        <v>412</v>
      </c>
      <c r="B276" s="11" t="s">
        <v>91</v>
      </c>
      <c r="C276" s="11" t="s">
        <v>25</v>
      </c>
      <c r="D276" s="11" t="s">
        <v>373</v>
      </c>
      <c r="E276" s="11" t="s">
        <v>11</v>
      </c>
      <c r="F276" s="17">
        <f>F277</f>
        <v>4245000</v>
      </c>
      <c r="G276" s="17">
        <f>G277</f>
        <v>589726.58</v>
      </c>
      <c r="H276" s="41"/>
      <c r="I276" s="31"/>
    </row>
    <row r="277" spans="1:9" ht="46.5" customHeight="1">
      <c r="A277" s="4" t="s">
        <v>186</v>
      </c>
      <c r="B277" s="11" t="s">
        <v>91</v>
      </c>
      <c r="C277" s="11" t="s">
        <v>25</v>
      </c>
      <c r="D277" s="11" t="s">
        <v>373</v>
      </c>
      <c r="E277" s="11" t="s">
        <v>185</v>
      </c>
      <c r="F277" s="17">
        <v>4245000</v>
      </c>
      <c r="G277" s="17">
        <v>589726.58</v>
      </c>
      <c r="H277" s="41"/>
      <c r="I277" s="31"/>
    </row>
    <row r="278" spans="1:9" ht="33.75">
      <c r="A278" s="4" t="s">
        <v>413</v>
      </c>
      <c r="B278" s="11" t="s">
        <v>91</v>
      </c>
      <c r="C278" s="11" t="s">
        <v>25</v>
      </c>
      <c r="D278" s="11" t="s">
        <v>374</v>
      </c>
      <c r="E278" s="11" t="s">
        <v>11</v>
      </c>
      <c r="F278" s="17">
        <f>F279</f>
        <v>2498100</v>
      </c>
      <c r="G278" s="17">
        <f>G279</f>
        <v>555892.63</v>
      </c>
      <c r="H278" s="41"/>
      <c r="I278" s="31"/>
    </row>
    <row r="279" spans="1:9" ht="54" customHeight="1">
      <c r="A279" s="4" t="s">
        <v>186</v>
      </c>
      <c r="B279" s="11" t="s">
        <v>91</v>
      </c>
      <c r="C279" s="11" t="s">
        <v>25</v>
      </c>
      <c r="D279" s="11" t="s">
        <v>374</v>
      </c>
      <c r="E279" s="11" t="s">
        <v>185</v>
      </c>
      <c r="F279" s="17">
        <v>2498100</v>
      </c>
      <c r="G279" s="17">
        <v>555892.63</v>
      </c>
      <c r="H279" s="41"/>
      <c r="I279" s="31"/>
    </row>
    <row r="280" spans="1:9" ht="45">
      <c r="A280" s="4" t="s">
        <v>414</v>
      </c>
      <c r="B280" s="11" t="s">
        <v>91</v>
      </c>
      <c r="C280" s="11" t="s">
        <v>25</v>
      </c>
      <c r="D280" s="11" t="s">
        <v>375</v>
      </c>
      <c r="E280" s="11" t="s">
        <v>11</v>
      </c>
      <c r="F280" s="17">
        <f>F281</f>
        <v>9906195.64</v>
      </c>
      <c r="G280" s="17">
        <f>G281</f>
        <v>5050498.88</v>
      </c>
      <c r="H280" s="41"/>
      <c r="I280" s="31"/>
    </row>
    <row r="281" spans="1:9" ht="58.5" customHeight="1">
      <c r="A281" s="4" t="s">
        <v>186</v>
      </c>
      <c r="B281" s="11" t="s">
        <v>91</v>
      </c>
      <c r="C281" s="11" t="s">
        <v>25</v>
      </c>
      <c r="D281" s="11" t="s">
        <v>375</v>
      </c>
      <c r="E281" s="11" t="s">
        <v>185</v>
      </c>
      <c r="F281" s="17">
        <v>9906195.64</v>
      </c>
      <c r="G281" s="17">
        <v>5050498.88</v>
      </c>
      <c r="H281" s="41"/>
      <c r="I281" s="31"/>
    </row>
    <row r="282" spans="1:9" ht="22.5">
      <c r="A282" s="6" t="s">
        <v>111</v>
      </c>
      <c r="B282" s="10" t="s">
        <v>91</v>
      </c>
      <c r="C282" s="10" t="s">
        <v>31</v>
      </c>
      <c r="D282" s="10" t="s">
        <v>8</v>
      </c>
      <c r="E282" s="10" t="s">
        <v>11</v>
      </c>
      <c r="F282" s="21">
        <f>F283+F285+F287+F289</f>
        <v>12373766.09</v>
      </c>
      <c r="G282" s="21">
        <f>G283+G285+G287+G289</f>
        <v>4788493.59</v>
      </c>
      <c r="H282" s="41"/>
      <c r="I282" s="31"/>
    </row>
    <row r="283" spans="1:9" ht="12.75">
      <c r="A283" s="4" t="s">
        <v>20</v>
      </c>
      <c r="B283" s="11" t="s">
        <v>91</v>
      </c>
      <c r="C283" s="11" t="s">
        <v>31</v>
      </c>
      <c r="D283" s="11" t="s">
        <v>125</v>
      </c>
      <c r="E283" s="11" t="s">
        <v>11</v>
      </c>
      <c r="F283" s="17">
        <f>F284</f>
        <v>140800</v>
      </c>
      <c r="G283" s="17">
        <f>G284</f>
        <v>66847.38</v>
      </c>
      <c r="H283" s="40"/>
      <c r="I283" s="34"/>
    </row>
    <row r="284" spans="1:9" ht="22.5">
      <c r="A284" s="4" t="s">
        <v>18</v>
      </c>
      <c r="B284" s="11" t="s">
        <v>91</v>
      </c>
      <c r="C284" s="11" t="s">
        <v>31</v>
      </c>
      <c r="D284" s="11" t="s">
        <v>125</v>
      </c>
      <c r="E284" s="11" t="s">
        <v>154</v>
      </c>
      <c r="F284" s="17">
        <v>140800</v>
      </c>
      <c r="G284" s="17">
        <v>66847.38</v>
      </c>
      <c r="H284" s="41"/>
      <c r="I284" s="31"/>
    </row>
    <row r="285" spans="1:9" ht="24" customHeight="1">
      <c r="A285" s="4" t="s">
        <v>188</v>
      </c>
      <c r="B285" s="11" t="s">
        <v>91</v>
      </c>
      <c r="C285" s="11" t="s">
        <v>31</v>
      </c>
      <c r="D285" s="11" t="s">
        <v>187</v>
      </c>
      <c r="E285" s="11" t="s">
        <v>11</v>
      </c>
      <c r="F285" s="17">
        <f>F286</f>
        <v>2924065.17</v>
      </c>
      <c r="G285" s="17">
        <f>G286</f>
        <v>944692.34</v>
      </c>
      <c r="H285" s="41"/>
      <c r="I285" s="31"/>
    </row>
    <row r="286" spans="1:9" ht="22.5">
      <c r="A286" s="4" t="s">
        <v>18</v>
      </c>
      <c r="B286" s="11" t="s">
        <v>91</v>
      </c>
      <c r="C286" s="11" t="s">
        <v>31</v>
      </c>
      <c r="D286" s="11" t="s">
        <v>187</v>
      </c>
      <c r="E286" s="11" t="s">
        <v>154</v>
      </c>
      <c r="F286" s="17">
        <v>2924065.17</v>
      </c>
      <c r="G286" s="17">
        <f>627213.32+2200+184138+26570+18938.8+7179.21+30762.71+11076.29+36614.01</f>
        <v>944692.34</v>
      </c>
      <c r="H286" s="41"/>
      <c r="I286" s="31"/>
    </row>
    <row r="287" spans="1:9" ht="33.75">
      <c r="A287" s="4" t="s">
        <v>380</v>
      </c>
      <c r="B287" s="11" t="s">
        <v>91</v>
      </c>
      <c r="C287" s="11" t="s">
        <v>31</v>
      </c>
      <c r="D287" s="11" t="s">
        <v>194</v>
      </c>
      <c r="E287" s="11" t="s">
        <v>11</v>
      </c>
      <c r="F287" s="17">
        <f>F288</f>
        <v>7753280.35</v>
      </c>
      <c r="G287" s="17">
        <f>G288</f>
        <v>3209548.65</v>
      </c>
      <c r="H287" s="41"/>
      <c r="I287" s="31"/>
    </row>
    <row r="288" spans="1:9" ht="23.25" customHeight="1">
      <c r="A288" s="4" t="s">
        <v>18</v>
      </c>
      <c r="B288" s="11" t="s">
        <v>91</v>
      </c>
      <c r="C288" s="11" t="s">
        <v>31</v>
      </c>
      <c r="D288" s="11" t="s">
        <v>194</v>
      </c>
      <c r="E288" s="11" t="s">
        <v>154</v>
      </c>
      <c r="F288" s="17">
        <v>7753280.35</v>
      </c>
      <c r="G288" s="17">
        <f>2086562.98+539587.23+69255.52+65912.17+38116.58+74536.85+2430+131155.86+201991.46</f>
        <v>3209548.65</v>
      </c>
      <c r="H288" s="41"/>
      <c r="I288" s="31"/>
    </row>
    <row r="289" spans="1:9" ht="45">
      <c r="A289" s="4" t="s">
        <v>415</v>
      </c>
      <c r="B289" s="11" t="s">
        <v>91</v>
      </c>
      <c r="C289" s="11" t="s">
        <v>31</v>
      </c>
      <c r="D289" s="11" t="s">
        <v>376</v>
      </c>
      <c r="E289" s="11" t="s">
        <v>11</v>
      </c>
      <c r="F289" s="17">
        <f>F290</f>
        <v>1555620.57</v>
      </c>
      <c r="G289" s="17">
        <f>G290</f>
        <v>567405.2199999999</v>
      </c>
      <c r="H289" s="41"/>
      <c r="I289" s="31"/>
    </row>
    <row r="290" spans="1:9" ht="22.5">
      <c r="A290" s="4" t="s">
        <v>18</v>
      </c>
      <c r="B290" s="11" t="s">
        <v>91</v>
      </c>
      <c r="C290" s="11" t="s">
        <v>31</v>
      </c>
      <c r="D290" s="11" t="s">
        <v>376</v>
      </c>
      <c r="E290" s="11" t="s">
        <v>154</v>
      </c>
      <c r="F290" s="17">
        <v>1555620.57</v>
      </c>
      <c r="G290" s="17">
        <f>319484.6+90277.14+8699.23+9789.34+3025.11+8873.72+95020+32236.08</f>
        <v>567405.2199999999</v>
      </c>
      <c r="H290" s="41"/>
      <c r="I290" s="31"/>
    </row>
    <row r="291" spans="1:9" ht="12.75">
      <c r="A291" s="7" t="s">
        <v>113</v>
      </c>
      <c r="B291" s="9" t="s">
        <v>114</v>
      </c>
      <c r="C291" s="9" t="s">
        <v>10</v>
      </c>
      <c r="D291" s="9" t="s">
        <v>8</v>
      </c>
      <c r="E291" s="9" t="s">
        <v>11</v>
      </c>
      <c r="F291" s="24">
        <f>F292+F299+F304</f>
        <v>30681230.35</v>
      </c>
      <c r="G291" s="24">
        <f>G292+G299+G304</f>
        <v>20092751.35</v>
      </c>
      <c r="H291" s="41"/>
      <c r="I291" s="31"/>
    </row>
    <row r="292" spans="1:9" ht="33.75">
      <c r="A292" s="6" t="s">
        <v>115</v>
      </c>
      <c r="B292" s="10" t="s">
        <v>114</v>
      </c>
      <c r="C292" s="10" t="s">
        <v>9</v>
      </c>
      <c r="D292" s="10" t="s">
        <v>33</v>
      </c>
      <c r="E292" s="10" t="s">
        <v>11</v>
      </c>
      <c r="F292" s="21">
        <f>F293+F295+F297</f>
        <v>15198036.48</v>
      </c>
      <c r="G292" s="21">
        <f>G293+G295+G297</f>
        <v>5985107.48</v>
      </c>
      <c r="H292" s="40"/>
      <c r="I292" s="34"/>
    </row>
    <row r="293" spans="1:9" s="14" customFormat="1" ht="45">
      <c r="A293" s="28" t="s">
        <v>285</v>
      </c>
      <c r="B293" s="51" t="s">
        <v>114</v>
      </c>
      <c r="C293" s="51" t="s">
        <v>9</v>
      </c>
      <c r="D293" s="51" t="s">
        <v>284</v>
      </c>
      <c r="E293" s="51" t="s">
        <v>11</v>
      </c>
      <c r="F293" s="19">
        <f>F294</f>
        <v>13080000</v>
      </c>
      <c r="G293" s="19">
        <f>G294</f>
        <v>4995590</v>
      </c>
      <c r="H293" s="41"/>
      <c r="I293" s="31"/>
    </row>
    <row r="294" spans="1:9" s="14" customFormat="1" ht="11.25" customHeight="1">
      <c r="A294" s="28" t="s">
        <v>116</v>
      </c>
      <c r="B294" s="51" t="s">
        <v>114</v>
      </c>
      <c r="C294" s="51" t="s">
        <v>9</v>
      </c>
      <c r="D294" s="51" t="s">
        <v>284</v>
      </c>
      <c r="E294" s="51" t="s">
        <v>117</v>
      </c>
      <c r="F294" s="19">
        <v>13080000</v>
      </c>
      <c r="G294" s="19">
        <v>4995590</v>
      </c>
      <c r="H294" s="41"/>
      <c r="I294" s="31"/>
    </row>
    <row r="295" spans="1:9" ht="67.5">
      <c r="A295" s="4" t="s">
        <v>289</v>
      </c>
      <c r="B295" s="11" t="s">
        <v>114</v>
      </c>
      <c r="C295" s="11" t="s">
        <v>9</v>
      </c>
      <c r="D295" s="11" t="s">
        <v>288</v>
      </c>
      <c r="E295" s="11" t="s">
        <v>11</v>
      </c>
      <c r="F295" s="17">
        <f>F296</f>
        <v>1597700</v>
      </c>
      <c r="G295" s="17">
        <f>G296</f>
        <v>469181</v>
      </c>
      <c r="H295" s="41"/>
      <c r="I295" s="31"/>
    </row>
    <row r="296" spans="1:9" ht="12.75" customHeight="1">
      <c r="A296" s="4" t="s">
        <v>116</v>
      </c>
      <c r="B296" s="11" t="s">
        <v>114</v>
      </c>
      <c r="C296" s="11" t="s">
        <v>9</v>
      </c>
      <c r="D296" s="11" t="s">
        <v>288</v>
      </c>
      <c r="E296" s="11" t="s">
        <v>117</v>
      </c>
      <c r="F296" s="17">
        <v>1597700</v>
      </c>
      <c r="G296" s="17">
        <v>469181</v>
      </c>
      <c r="H296" s="41"/>
      <c r="I296" s="31"/>
    </row>
    <row r="297" spans="1:9" ht="33.75">
      <c r="A297" s="4" t="s">
        <v>244</v>
      </c>
      <c r="B297" s="11" t="s">
        <v>114</v>
      </c>
      <c r="C297" s="11" t="s">
        <v>9</v>
      </c>
      <c r="D297" s="11" t="s">
        <v>377</v>
      </c>
      <c r="E297" s="11" t="s">
        <v>11</v>
      </c>
      <c r="F297" s="17">
        <f>F298</f>
        <v>520336.48</v>
      </c>
      <c r="G297" s="17">
        <f>G298</f>
        <v>520336.48</v>
      </c>
      <c r="H297" s="41"/>
      <c r="I297" s="31"/>
    </row>
    <row r="298" spans="1:9" ht="12.75" customHeight="1">
      <c r="A298" s="4" t="s">
        <v>245</v>
      </c>
      <c r="B298" s="11" t="s">
        <v>114</v>
      </c>
      <c r="C298" s="11" t="s">
        <v>9</v>
      </c>
      <c r="D298" s="11" t="s">
        <v>377</v>
      </c>
      <c r="E298" s="11" t="s">
        <v>243</v>
      </c>
      <c r="F298" s="17">
        <v>520336.48</v>
      </c>
      <c r="G298" s="17">
        <v>520336.48</v>
      </c>
      <c r="H298" s="41"/>
      <c r="I298" s="31"/>
    </row>
    <row r="299" spans="1:9" ht="45.75" customHeight="1">
      <c r="A299" s="6" t="s">
        <v>249</v>
      </c>
      <c r="B299" s="10" t="s">
        <v>114</v>
      </c>
      <c r="C299" s="10" t="s">
        <v>13</v>
      </c>
      <c r="D299" s="10" t="s">
        <v>8</v>
      </c>
      <c r="E299" s="10" t="s">
        <v>11</v>
      </c>
      <c r="F299" s="21">
        <f>F300+F302</f>
        <v>12776293.870000001</v>
      </c>
      <c r="G299" s="21">
        <f>G300+G302</f>
        <v>12776293.870000001</v>
      </c>
      <c r="H299" s="41"/>
      <c r="I299" s="31"/>
    </row>
    <row r="300" spans="1:9" s="14" customFormat="1" ht="137.25" customHeight="1">
      <c r="A300" s="55" t="s">
        <v>416</v>
      </c>
      <c r="B300" s="15" t="s">
        <v>114</v>
      </c>
      <c r="C300" s="15" t="s">
        <v>13</v>
      </c>
      <c r="D300" s="15" t="s">
        <v>292</v>
      </c>
      <c r="E300" s="15" t="s">
        <v>11</v>
      </c>
      <c r="F300" s="27">
        <f>F301</f>
        <v>3992307.48</v>
      </c>
      <c r="G300" s="27">
        <f>G301</f>
        <v>3992307.48</v>
      </c>
      <c r="H300" s="41"/>
      <c r="I300" s="31"/>
    </row>
    <row r="301" spans="1:9" s="14" customFormat="1" ht="32.25" customHeight="1">
      <c r="A301" s="28" t="s">
        <v>417</v>
      </c>
      <c r="B301" s="15" t="s">
        <v>114</v>
      </c>
      <c r="C301" s="15" t="s">
        <v>13</v>
      </c>
      <c r="D301" s="15" t="s">
        <v>292</v>
      </c>
      <c r="E301" s="51" t="s">
        <v>378</v>
      </c>
      <c r="F301" s="27">
        <v>3992307.48</v>
      </c>
      <c r="G301" s="27">
        <v>3992307.48</v>
      </c>
      <c r="H301" s="41"/>
      <c r="I301" s="31"/>
    </row>
    <row r="302" spans="1:9" s="14" customFormat="1" ht="67.5">
      <c r="A302" s="28" t="s">
        <v>418</v>
      </c>
      <c r="B302" s="51" t="s">
        <v>114</v>
      </c>
      <c r="C302" s="51" t="s">
        <v>13</v>
      </c>
      <c r="D302" s="51" t="s">
        <v>379</v>
      </c>
      <c r="E302" s="51" t="s">
        <v>11</v>
      </c>
      <c r="F302" s="27">
        <f>F303</f>
        <v>8783986.39</v>
      </c>
      <c r="G302" s="27">
        <f>G303</f>
        <v>8783986.39</v>
      </c>
      <c r="H302" s="41"/>
      <c r="I302" s="31"/>
    </row>
    <row r="303" spans="1:9" s="14" customFormat="1" ht="13.5" customHeight="1">
      <c r="A303" s="28" t="s">
        <v>332</v>
      </c>
      <c r="B303" s="51" t="s">
        <v>114</v>
      </c>
      <c r="C303" s="51" t="s">
        <v>13</v>
      </c>
      <c r="D303" s="51" t="s">
        <v>379</v>
      </c>
      <c r="E303" s="51" t="s">
        <v>210</v>
      </c>
      <c r="F303" s="27">
        <v>8783986.39</v>
      </c>
      <c r="G303" s="27">
        <v>8783986.39</v>
      </c>
      <c r="H303" s="41"/>
      <c r="I303" s="31"/>
    </row>
    <row r="304" spans="1:9" ht="33.75">
      <c r="A304" s="6" t="s">
        <v>118</v>
      </c>
      <c r="B304" s="10" t="s">
        <v>114</v>
      </c>
      <c r="C304" s="10" t="s">
        <v>19</v>
      </c>
      <c r="D304" s="10" t="s">
        <v>8</v>
      </c>
      <c r="E304" s="10" t="s">
        <v>11</v>
      </c>
      <c r="F304" s="21">
        <f>F306+F308</f>
        <v>2706900</v>
      </c>
      <c r="G304" s="21">
        <f>G306+G308</f>
        <v>1331350</v>
      </c>
      <c r="H304" s="40"/>
      <c r="I304" s="34"/>
    </row>
    <row r="305" spans="1:9" ht="37.5" customHeight="1">
      <c r="A305" s="4" t="s">
        <v>419</v>
      </c>
      <c r="B305" s="11" t="s">
        <v>114</v>
      </c>
      <c r="C305" s="11" t="s">
        <v>19</v>
      </c>
      <c r="D305" s="11" t="s">
        <v>120</v>
      </c>
      <c r="E305" s="11" t="s">
        <v>11</v>
      </c>
      <c r="F305" s="17">
        <f>F306</f>
        <v>2226200</v>
      </c>
      <c r="G305" s="17">
        <f>G306</f>
        <v>1091000</v>
      </c>
      <c r="H305" s="32"/>
      <c r="I305" s="33"/>
    </row>
    <row r="306" spans="1:9" ht="12.75">
      <c r="A306" s="4" t="s">
        <v>121</v>
      </c>
      <c r="B306" s="11" t="s">
        <v>114</v>
      </c>
      <c r="C306" s="11" t="s">
        <v>19</v>
      </c>
      <c r="D306" s="11" t="s">
        <v>120</v>
      </c>
      <c r="E306" s="11" t="s">
        <v>122</v>
      </c>
      <c r="F306" s="17">
        <v>2226200</v>
      </c>
      <c r="G306" s="17">
        <v>1091000</v>
      </c>
      <c r="H306" s="32"/>
      <c r="I306" s="33"/>
    </row>
    <row r="307" spans="1:9" ht="22.5">
      <c r="A307" s="4" t="s">
        <v>36</v>
      </c>
      <c r="B307" s="11" t="s">
        <v>114</v>
      </c>
      <c r="C307" s="11" t="s">
        <v>19</v>
      </c>
      <c r="D307" s="11" t="s">
        <v>37</v>
      </c>
      <c r="E307" s="11" t="s">
        <v>11</v>
      </c>
      <c r="F307" s="17">
        <f>F308</f>
        <v>480700</v>
      </c>
      <c r="G307" s="17">
        <f>G308</f>
        <v>240350</v>
      </c>
      <c r="H307" s="32"/>
      <c r="I307" s="33"/>
    </row>
    <row r="308" spans="1:9" ht="11.25" customHeight="1">
      <c r="A308" s="4" t="s">
        <v>121</v>
      </c>
      <c r="B308" s="11" t="s">
        <v>114</v>
      </c>
      <c r="C308" s="11" t="s">
        <v>19</v>
      </c>
      <c r="D308" s="11" t="s">
        <v>37</v>
      </c>
      <c r="E308" s="11" t="s">
        <v>122</v>
      </c>
      <c r="F308" s="17">
        <f>240350+240350</f>
        <v>480700</v>
      </c>
      <c r="G308" s="17">
        <v>240350</v>
      </c>
      <c r="H308" s="32"/>
      <c r="I308" s="33"/>
    </row>
    <row r="309" spans="1:9" ht="9" customHeight="1" hidden="1">
      <c r="A309" s="1"/>
      <c r="B309" s="1"/>
      <c r="C309" s="1"/>
      <c r="D309" s="1"/>
      <c r="E309" s="1"/>
      <c r="F309" s="17"/>
      <c r="G309" s="17"/>
      <c r="H309" s="41"/>
      <c r="I309" s="31"/>
    </row>
    <row r="310" spans="1:9" s="53" customFormat="1" ht="12.75">
      <c r="A310" s="2" t="s">
        <v>2</v>
      </c>
      <c r="B310" s="2"/>
      <c r="C310" s="2"/>
      <c r="D310" s="2"/>
      <c r="E310" s="2"/>
      <c r="F310" s="52">
        <f>F8+F32+F49+F65+F96+F106+F158+F181+F221+F291</f>
        <v>951526509.38</v>
      </c>
      <c r="G310" s="52">
        <f>G8+G32+G49+G65+G96+G106+G158+G181+G221+G291</f>
        <v>537110889.63</v>
      </c>
      <c r="H310" s="38"/>
      <c r="I310" s="39"/>
    </row>
    <row r="311" spans="6:9" ht="12.75">
      <c r="F311" s="23"/>
      <c r="G311" s="41"/>
      <c r="H311" s="41"/>
      <c r="I311" s="31"/>
    </row>
    <row r="312" spans="4:9" s="30" customFormat="1" ht="12.75">
      <c r="D312" s="36"/>
      <c r="F312" s="45"/>
      <c r="G312" s="41"/>
      <c r="H312" s="41"/>
      <c r="I312" s="31"/>
    </row>
    <row r="313" spans="6:9" s="30" customFormat="1" ht="12.75">
      <c r="F313" s="45"/>
      <c r="G313" s="40"/>
      <c r="H313" s="40"/>
      <c r="I313" s="34"/>
    </row>
    <row r="314" spans="6:9" s="30" customFormat="1" ht="12.75">
      <c r="F314" s="45"/>
      <c r="G314" s="41"/>
      <c r="H314" s="41"/>
      <c r="I314" s="31"/>
    </row>
    <row r="315" spans="6:9" s="30" customFormat="1" ht="12.75">
      <c r="F315" s="45"/>
      <c r="G315" s="41"/>
      <c r="H315" s="41"/>
      <c r="I315" s="31"/>
    </row>
    <row r="316" spans="6:9" s="30" customFormat="1" ht="12.75">
      <c r="F316" s="45"/>
      <c r="G316" s="41"/>
      <c r="H316" s="41"/>
      <c r="I316" s="31"/>
    </row>
    <row r="317" spans="6:9" s="30" customFormat="1" ht="12.75">
      <c r="F317" s="45"/>
      <c r="G317" s="41"/>
      <c r="H317" s="41"/>
      <c r="I317" s="31"/>
    </row>
    <row r="318" spans="6:9" s="30" customFormat="1" ht="12.75">
      <c r="F318" s="45"/>
      <c r="G318" s="36"/>
      <c r="H318" s="36"/>
      <c r="I318" s="31"/>
    </row>
    <row r="319" spans="7:9" s="30" customFormat="1" ht="12.75">
      <c r="G319" s="36"/>
      <c r="H319" s="36"/>
      <c r="I319" s="44"/>
    </row>
    <row r="320" spans="7:9" s="30" customFormat="1" ht="12.75">
      <c r="G320" s="36"/>
      <c r="H320" s="36"/>
      <c r="I320" s="36"/>
    </row>
    <row r="321" spans="7:9" s="30" customFormat="1" ht="12.75">
      <c r="G321" s="36"/>
      <c r="H321" s="36"/>
      <c r="I321" s="36"/>
    </row>
    <row r="322" spans="7:9" s="30" customFormat="1" ht="12.75">
      <c r="G322" s="36"/>
      <c r="H322" s="36"/>
      <c r="I322" s="36"/>
    </row>
    <row r="323" spans="7:9" s="30" customFormat="1" ht="12.75">
      <c r="G323" s="36"/>
      <c r="H323" s="36"/>
      <c r="I323" s="36"/>
    </row>
    <row r="324" spans="7:9" s="30" customFormat="1" ht="12.75">
      <c r="G324" s="36"/>
      <c r="H324" s="36"/>
      <c r="I324" s="36"/>
    </row>
    <row r="325" spans="7:9" s="30" customFormat="1" ht="12.75">
      <c r="G325" s="36"/>
      <c r="H325" s="36"/>
      <c r="I325" s="36"/>
    </row>
    <row r="326" spans="7:9" s="30" customFormat="1" ht="12.75">
      <c r="G326" s="36"/>
      <c r="H326" s="36"/>
      <c r="I326" s="36"/>
    </row>
    <row r="327" spans="7:9" s="30" customFormat="1" ht="12.75">
      <c r="G327" s="36"/>
      <c r="H327" s="36"/>
      <c r="I327" s="36"/>
    </row>
    <row r="328" spans="7:9" s="30" customFormat="1" ht="12.75">
      <c r="G328" s="36"/>
      <c r="H328" s="36"/>
      <c r="I328" s="36"/>
    </row>
    <row r="329" spans="7:9" s="30" customFormat="1" ht="12.75">
      <c r="G329" s="36"/>
      <c r="H329" s="36"/>
      <c r="I329" s="36"/>
    </row>
    <row r="330" spans="7:9" s="30" customFormat="1" ht="12.75">
      <c r="G330" s="36"/>
      <c r="H330" s="36"/>
      <c r="I330" s="36"/>
    </row>
    <row r="331" spans="7:9" s="30" customFormat="1" ht="12.75">
      <c r="G331" s="36"/>
      <c r="H331" s="36"/>
      <c r="I331" s="36"/>
    </row>
    <row r="332" spans="7:9" s="30" customFormat="1" ht="12.75">
      <c r="G332" s="36"/>
      <c r="H332" s="36"/>
      <c r="I332" s="36"/>
    </row>
    <row r="333" spans="7:9" s="30" customFormat="1" ht="12.75">
      <c r="G333" s="36"/>
      <c r="H333" s="36"/>
      <c r="I333" s="36"/>
    </row>
    <row r="334" spans="7:9" s="30" customFormat="1" ht="12.75">
      <c r="G334" s="36"/>
      <c r="H334" s="36"/>
      <c r="I334" s="36"/>
    </row>
    <row r="335" spans="7:9" s="30" customFormat="1" ht="12.75">
      <c r="G335" s="36"/>
      <c r="H335" s="36"/>
      <c r="I335" s="36"/>
    </row>
    <row r="336" spans="7:9" s="30" customFormat="1" ht="12.75">
      <c r="G336" s="36"/>
      <c r="H336" s="36"/>
      <c r="I336" s="36"/>
    </row>
    <row r="337" spans="7:9" s="30" customFormat="1" ht="12.75">
      <c r="G337" s="36"/>
      <c r="H337" s="36"/>
      <c r="I337" s="36"/>
    </row>
    <row r="338" spans="7:9" s="30" customFormat="1" ht="12.75">
      <c r="G338" s="36"/>
      <c r="H338" s="36"/>
      <c r="I338" s="36"/>
    </row>
    <row r="339" spans="7:9" s="30" customFormat="1" ht="12.75">
      <c r="G339" s="36"/>
      <c r="H339" s="36"/>
      <c r="I339" s="36"/>
    </row>
    <row r="340" spans="7:9" s="30" customFormat="1" ht="12.75">
      <c r="G340" s="36"/>
      <c r="H340" s="36"/>
      <c r="I340" s="36"/>
    </row>
    <row r="341" spans="7:9" s="30" customFormat="1" ht="12.75">
      <c r="G341" s="36"/>
      <c r="H341" s="36"/>
      <c r="I341" s="36"/>
    </row>
    <row r="342" spans="7:9" s="30" customFormat="1" ht="12.75">
      <c r="G342" s="36"/>
      <c r="H342" s="36"/>
      <c r="I342" s="36"/>
    </row>
    <row r="343" spans="7:9" s="30" customFormat="1" ht="12.75">
      <c r="G343" s="36"/>
      <c r="H343" s="36"/>
      <c r="I343" s="36"/>
    </row>
    <row r="344" spans="7:9" s="30" customFormat="1" ht="12.75">
      <c r="G344" s="36"/>
      <c r="H344" s="36"/>
      <c r="I344" s="36"/>
    </row>
    <row r="345" spans="7:9" s="30" customFormat="1" ht="12.75">
      <c r="G345" s="36"/>
      <c r="H345" s="36"/>
      <c r="I345" s="36"/>
    </row>
    <row r="346" spans="7:9" s="30" customFormat="1" ht="12.75">
      <c r="G346" s="36"/>
      <c r="H346" s="36"/>
      <c r="I346" s="36"/>
    </row>
    <row r="347" spans="7:9" s="30" customFormat="1" ht="12.75">
      <c r="G347" s="36"/>
      <c r="H347" s="36"/>
      <c r="I347" s="36"/>
    </row>
    <row r="348" spans="7:9" s="30" customFormat="1" ht="12.75">
      <c r="G348" s="36"/>
      <c r="H348" s="36"/>
      <c r="I348" s="36"/>
    </row>
    <row r="349" spans="7:9" s="30" customFormat="1" ht="12.75">
      <c r="G349" s="36"/>
      <c r="H349" s="36"/>
      <c r="I349" s="36"/>
    </row>
    <row r="350" spans="7:9" s="30" customFormat="1" ht="12.75">
      <c r="G350" s="36"/>
      <c r="H350" s="36"/>
      <c r="I350" s="36"/>
    </row>
    <row r="351" spans="7:9" s="30" customFormat="1" ht="12.75">
      <c r="G351" s="36"/>
      <c r="H351" s="36"/>
      <c r="I351" s="36"/>
    </row>
    <row r="352" spans="7:9" s="30" customFormat="1" ht="12.75">
      <c r="G352" s="36"/>
      <c r="H352" s="36"/>
      <c r="I352" s="36"/>
    </row>
    <row r="353" spans="7:9" s="30" customFormat="1" ht="12.75">
      <c r="G353" s="36"/>
      <c r="H353" s="36"/>
      <c r="I353" s="36"/>
    </row>
    <row r="354" spans="7:9" s="30" customFormat="1" ht="12.75">
      <c r="G354" s="36"/>
      <c r="H354" s="36"/>
      <c r="I354" s="36"/>
    </row>
    <row r="355" spans="7:9" s="30" customFormat="1" ht="12.75">
      <c r="G355" s="36"/>
      <c r="H355" s="36"/>
      <c r="I355" s="36"/>
    </row>
    <row r="356" spans="7:9" s="30" customFormat="1" ht="12.75">
      <c r="G356" s="36"/>
      <c r="H356" s="36"/>
      <c r="I356" s="36"/>
    </row>
    <row r="357" spans="7:9" s="30" customFormat="1" ht="12.75">
      <c r="G357" s="36"/>
      <c r="H357" s="36"/>
      <c r="I357" s="36"/>
    </row>
    <row r="358" spans="7:9" s="30" customFormat="1" ht="12.75">
      <c r="G358" s="36"/>
      <c r="H358" s="36"/>
      <c r="I358" s="36"/>
    </row>
    <row r="359" spans="7:9" s="30" customFormat="1" ht="12.75">
      <c r="G359" s="36"/>
      <c r="H359" s="36"/>
      <c r="I359" s="36"/>
    </row>
    <row r="360" spans="7:9" s="30" customFormat="1" ht="12.75">
      <c r="G360" s="36"/>
      <c r="H360" s="36"/>
      <c r="I360" s="36"/>
    </row>
    <row r="361" spans="7:9" s="30" customFormat="1" ht="12.75">
      <c r="G361" s="36"/>
      <c r="H361" s="36"/>
      <c r="I361" s="36"/>
    </row>
    <row r="362" spans="7:9" s="30" customFormat="1" ht="12.75">
      <c r="G362" s="36"/>
      <c r="H362" s="36"/>
      <c r="I362" s="36"/>
    </row>
    <row r="363" spans="7:9" s="30" customFormat="1" ht="12.75">
      <c r="G363" s="36"/>
      <c r="H363" s="36"/>
      <c r="I363" s="36"/>
    </row>
    <row r="364" spans="7:9" s="30" customFormat="1" ht="12.75">
      <c r="G364" s="36"/>
      <c r="H364" s="36"/>
      <c r="I364" s="36"/>
    </row>
    <row r="365" spans="7:9" s="30" customFormat="1" ht="12.75">
      <c r="G365" s="36"/>
      <c r="H365" s="36"/>
      <c r="I365" s="36"/>
    </row>
    <row r="366" spans="7:9" s="30" customFormat="1" ht="12.75">
      <c r="G366" s="36"/>
      <c r="H366" s="36"/>
      <c r="I366" s="36"/>
    </row>
    <row r="367" spans="7:9" s="30" customFormat="1" ht="12.75">
      <c r="G367" s="36"/>
      <c r="H367" s="36"/>
      <c r="I367" s="36"/>
    </row>
    <row r="368" spans="7:9" s="30" customFormat="1" ht="12.75">
      <c r="G368" s="36"/>
      <c r="H368" s="36"/>
      <c r="I368" s="36"/>
    </row>
    <row r="369" spans="7:9" s="30" customFormat="1" ht="12.75">
      <c r="G369" s="36"/>
      <c r="H369" s="36"/>
      <c r="I369" s="36"/>
    </row>
    <row r="370" spans="7:9" s="30" customFormat="1" ht="12.75">
      <c r="G370" s="36"/>
      <c r="H370" s="36"/>
      <c r="I370" s="36"/>
    </row>
    <row r="371" spans="7:9" s="30" customFormat="1" ht="12.75">
      <c r="G371" s="36"/>
      <c r="H371" s="36"/>
      <c r="I371" s="36"/>
    </row>
    <row r="372" spans="7:9" s="30" customFormat="1" ht="12.75">
      <c r="G372" s="36"/>
      <c r="H372" s="36"/>
      <c r="I372" s="36"/>
    </row>
    <row r="373" spans="7:9" s="30" customFormat="1" ht="12.75">
      <c r="G373" s="36"/>
      <c r="H373" s="36"/>
      <c r="I373" s="36"/>
    </row>
    <row r="374" spans="7:9" s="30" customFormat="1" ht="12.75">
      <c r="G374" s="36"/>
      <c r="H374" s="36"/>
      <c r="I374" s="36"/>
    </row>
    <row r="375" spans="7:9" s="30" customFormat="1" ht="12.75">
      <c r="G375" s="36"/>
      <c r="H375" s="36"/>
      <c r="I375" s="36"/>
    </row>
    <row r="376" spans="7:9" s="30" customFormat="1" ht="12.75">
      <c r="G376" s="36"/>
      <c r="H376" s="36"/>
      <c r="I376" s="36"/>
    </row>
    <row r="377" spans="7:9" s="30" customFormat="1" ht="12.75">
      <c r="G377" s="36"/>
      <c r="H377" s="36"/>
      <c r="I377" s="36"/>
    </row>
    <row r="378" spans="7:9" s="30" customFormat="1" ht="12.75">
      <c r="G378" s="36"/>
      <c r="H378" s="36"/>
      <c r="I378" s="36"/>
    </row>
    <row r="379" spans="7:9" s="30" customFormat="1" ht="12.75">
      <c r="G379" s="36"/>
      <c r="H379" s="36"/>
      <c r="I379" s="36"/>
    </row>
    <row r="380" spans="7:9" s="30" customFormat="1" ht="12.75">
      <c r="G380" s="36"/>
      <c r="H380" s="36"/>
      <c r="I380" s="36"/>
    </row>
    <row r="381" spans="7:9" s="30" customFormat="1" ht="12.75">
      <c r="G381" s="36"/>
      <c r="H381" s="36"/>
      <c r="I381" s="36"/>
    </row>
    <row r="382" spans="7:9" s="30" customFormat="1" ht="12.75">
      <c r="G382" s="36"/>
      <c r="H382" s="36"/>
      <c r="I382" s="36"/>
    </row>
    <row r="383" spans="7:9" s="30" customFormat="1" ht="12.75">
      <c r="G383" s="36"/>
      <c r="H383" s="36"/>
      <c r="I383" s="36"/>
    </row>
    <row r="384" spans="7:9" s="30" customFormat="1" ht="12.75">
      <c r="G384" s="36"/>
      <c r="H384" s="36"/>
      <c r="I384" s="36"/>
    </row>
    <row r="385" spans="7:9" s="30" customFormat="1" ht="12.75">
      <c r="G385" s="36"/>
      <c r="H385" s="36"/>
      <c r="I385" s="36"/>
    </row>
    <row r="386" spans="7:9" s="30" customFormat="1" ht="12.75">
      <c r="G386" s="36"/>
      <c r="H386" s="36"/>
      <c r="I386" s="36"/>
    </row>
    <row r="387" spans="7:9" s="30" customFormat="1" ht="12.75">
      <c r="G387" s="36"/>
      <c r="H387" s="36"/>
      <c r="I387" s="36"/>
    </row>
    <row r="388" spans="7:9" s="30" customFormat="1" ht="12.75">
      <c r="G388" s="36"/>
      <c r="H388" s="36"/>
      <c r="I388" s="36"/>
    </row>
    <row r="389" spans="7:9" s="30" customFormat="1" ht="12.75">
      <c r="G389" s="36"/>
      <c r="H389" s="36"/>
      <c r="I389" s="36"/>
    </row>
    <row r="390" spans="7:9" s="30" customFormat="1" ht="12.75">
      <c r="G390" s="36"/>
      <c r="H390" s="36"/>
      <c r="I390" s="36"/>
    </row>
    <row r="391" spans="7:9" s="30" customFormat="1" ht="12.75">
      <c r="G391" s="36"/>
      <c r="H391" s="36"/>
      <c r="I391" s="36"/>
    </row>
    <row r="392" spans="7:9" s="30" customFormat="1" ht="12.75">
      <c r="G392" s="36"/>
      <c r="H392" s="36"/>
      <c r="I392" s="36"/>
    </row>
    <row r="393" spans="7:9" s="30" customFormat="1" ht="12.75">
      <c r="G393" s="36"/>
      <c r="H393" s="36"/>
      <c r="I393" s="36"/>
    </row>
    <row r="394" spans="7:9" s="30" customFormat="1" ht="12.75">
      <c r="G394" s="36"/>
      <c r="H394" s="36"/>
      <c r="I394" s="36"/>
    </row>
    <row r="395" spans="7:9" s="30" customFormat="1" ht="12.75">
      <c r="G395" s="36"/>
      <c r="H395" s="36"/>
      <c r="I395" s="36"/>
    </row>
    <row r="396" spans="7:9" s="30" customFormat="1" ht="12.75">
      <c r="G396" s="36"/>
      <c r="H396" s="36"/>
      <c r="I396" s="36"/>
    </row>
    <row r="397" spans="7:9" s="30" customFormat="1" ht="12.75">
      <c r="G397" s="36"/>
      <c r="H397" s="36"/>
      <c r="I397" s="36"/>
    </row>
    <row r="398" spans="7:9" s="30" customFormat="1" ht="12.75">
      <c r="G398" s="36"/>
      <c r="H398" s="36"/>
      <c r="I398" s="36"/>
    </row>
    <row r="399" spans="7:9" s="30" customFormat="1" ht="12.75">
      <c r="G399" s="36"/>
      <c r="H399" s="36"/>
      <c r="I399" s="36"/>
    </row>
    <row r="400" spans="7:9" s="30" customFormat="1" ht="12.75">
      <c r="G400" s="36"/>
      <c r="H400" s="36"/>
      <c r="I400" s="36"/>
    </row>
    <row r="401" spans="7:9" s="30" customFormat="1" ht="12.75">
      <c r="G401" s="36"/>
      <c r="H401" s="36"/>
      <c r="I401" s="36"/>
    </row>
    <row r="402" spans="7:9" s="30" customFormat="1" ht="12.75">
      <c r="G402" s="36"/>
      <c r="H402" s="36"/>
      <c r="I402" s="36"/>
    </row>
    <row r="403" spans="7:9" s="30" customFormat="1" ht="12.75">
      <c r="G403" s="36"/>
      <c r="H403" s="36"/>
      <c r="I403" s="36"/>
    </row>
    <row r="404" spans="7:9" s="30" customFormat="1" ht="12.75">
      <c r="G404" s="36"/>
      <c r="H404" s="36"/>
      <c r="I404" s="36"/>
    </row>
    <row r="405" spans="7:9" s="30" customFormat="1" ht="12.75">
      <c r="G405" s="36"/>
      <c r="H405" s="36"/>
      <c r="I405" s="36"/>
    </row>
    <row r="406" spans="7:9" s="30" customFormat="1" ht="12.75">
      <c r="G406" s="36"/>
      <c r="H406" s="36"/>
      <c r="I406" s="36"/>
    </row>
    <row r="407" spans="7:9" s="30" customFormat="1" ht="12.75">
      <c r="G407" s="36"/>
      <c r="H407" s="36"/>
      <c r="I407" s="36"/>
    </row>
    <row r="408" spans="7:9" s="30" customFormat="1" ht="12.75">
      <c r="G408" s="36"/>
      <c r="H408" s="36"/>
      <c r="I408" s="36"/>
    </row>
    <row r="409" spans="7:9" s="30" customFormat="1" ht="12.75">
      <c r="G409" s="36"/>
      <c r="H409" s="36"/>
      <c r="I409" s="36"/>
    </row>
    <row r="410" spans="7:9" s="30" customFormat="1" ht="12.75">
      <c r="G410" s="36"/>
      <c r="H410" s="36"/>
      <c r="I410" s="36"/>
    </row>
    <row r="411" spans="7:9" s="30" customFormat="1" ht="12.75">
      <c r="G411" s="36"/>
      <c r="H411" s="36"/>
      <c r="I411" s="36"/>
    </row>
    <row r="412" spans="7:9" s="30" customFormat="1" ht="12.75">
      <c r="G412" s="36"/>
      <c r="H412" s="36"/>
      <c r="I412" s="36"/>
    </row>
    <row r="413" spans="7:9" s="30" customFormat="1" ht="12.75">
      <c r="G413" s="36"/>
      <c r="H413" s="36"/>
      <c r="I413" s="36"/>
    </row>
    <row r="414" spans="7:9" s="30" customFormat="1" ht="12.75">
      <c r="G414" s="36"/>
      <c r="H414" s="36"/>
      <c r="I414" s="36"/>
    </row>
    <row r="415" spans="7:9" s="30" customFormat="1" ht="12.75">
      <c r="G415" s="36"/>
      <c r="H415" s="36"/>
      <c r="I415" s="36"/>
    </row>
    <row r="416" spans="7:9" s="30" customFormat="1" ht="12.75">
      <c r="G416" s="36"/>
      <c r="H416" s="36"/>
      <c r="I416" s="36"/>
    </row>
    <row r="417" spans="7:9" s="30" customFormat="1" ht="12.75">
      <c r="G417" s="36"/>
      <c r="H417" s="36"/>
      <c r="I417" s="36"/>
    </row>
    <row r="418" spans="7:9" s="30" customFormat="1" ht="12.75">
      <c r="G418" s="36"/>
      <c r="H418" s="36"/>
      <c r="I418" s="36"/>
    </row>
    <row r="419" spans="7:9" s="30" customFormat="1" ht="12.75">
      <c r="G419" s="36"/>
      <c r="H419" s="36"/>
      <c r="I419" s="36"/>
    </row>
    <row r="420" spans="7:9" s="30" customFormat="1" ht="12.75">
      <c r="G420" s="36"/>
      <c r="H420" s="36"/>
      <c r="I420" s="36"/>
    </row>
    <row r="421" spans="7:9" s="30" customFormat="1" ht="12.75">
      <c r="G421" s="36"/>
      <c r="H421" s="36"/>
      <c r="I421" s="36"/>
    </row>
    <row r="422" spans="7:9" s="30" customFormat="1" ht="12.75">
      <c r="G422" s="36"/>
      <c r="H422" s="36"/>
      <c r="I422" s="36"/>
    </row>
    <row r="423" spans="7:9" s="30" customFormat="1" ht="12.75">
      <c r="G423" s="36"/>
      <c r="H423" s="36"/>
      <c r="I423" s="36"/>
    </row>
    <row r="424" spans="7:9" s="30" customFormat="1" ht="12.75">
      <c r="G424" s="36"/>
      <c r="H424" s="36"/>
      <c r="I424" s="36"/>
    </row>
    <row r="425" spans="7:9" s="30" customFormat="1" ht="12.75">
      <c r="G425" s="36"/>
      <c r="H425" s="36"/>
      <c r="I425" s="36"/>
    </row>
    <row r="426" spans="7:9" s="30" customFormat="1" ht="12.75">
      <c r="G426" s="36"/>
      <c r="H426" s="36"/>
      <c r="I426" s="36"/>
    </row>
    <row r="427" spans="7:9" s="30" customFormat="1" ht="12.75">
      <c r="G427" s="36"/>
      <c r="H427" s="36"/>
      <c r="I427" s="36"/>
    </row>
    <row r="428" spans="7:9" s="30" customFormat="1" ht="12.75">
      <c r="G428" s="36"/>
      <c r="H428" s="36"/>
      <c r="I428" s="36"/>
    </row>
    <row r="429" spans="7:9" s="30" customFormat="1" ht="12.75">
      <c r="G429" s="36"/>
      <c r="H429" s="36"/>
      <c r="I429" s="36"/>
    </row>
    <row r="430" spans="7:9" s="30" customFormat="1" ht="12.75">
      <c r="G430" s="36"/>
      <c r="H430" s="36"/>
      <c r="I430" s="36"/>
    </row>
    <row r="431" spans="7:9" s="30" customFormat="1" ht="12.75">
      <c r="G431" s="36"/>
      <c r="H431" s="36"/>
      <c r="I431" s="36"/>
    </row>
    <row r="432" spans="7:9" s="30" customFormat="1" ht="12.75">
      <c r="G432" s="36"/>
      <c r="H432" s="36"/>
      <c r="I432" s="36"/>
    </row>
    <row r="433" spans="7:9" s="30" customFormat="1" ht="12.75">
      <c r="G433" s="36"/>
      <c r="H433" s="36"/>
      <c r="I433" s="36"/>
    </row>
    <row r="434" spans="7:9" s="30" customFormat="1" ht="12.75">
      <c r="G434" s="36"/>
      <c r="H434" s="36"/>
      <c r="I434" s="36"/>
    </row>
    <row r="435" spans="7:9" s="30" customFormat="1" ht="12.75">
      <c r="G435" s="36"/>
      <c r="H435" s="36"/>
      <c r="I435" s="36"/>
    </row>
    <row r="436" spans="7:9" s="30" customFormat="1" ht="12.75">
      <c r="G436" s="36"/>
      <c r="H436" s="36"/>
      <c r="I436" s="36"/>
    </row>
    <row r="437" spans="7:9" s="30" customFormat="1" ht="12.75">
      <c r="G437" s="36"/>
      <c r="H437" s="36"/>
      <c r="I437" s="36"/>
    </row>
    <row r="438" spans="7:9" s="30" customFormat="1" ht="12.75">
      <c r="G438" s="36"/>
      <c r="H438" s="36"/>
      <c r="I438" s="36"/>
    </row>
    <row r="439" spans="7:9" s="30" customFormat="1" ht="12.75">
      <c r="G439" s="36"/>
      <c r="H439" s="36"/>
      <c r="I439" s="36"/>
    </row>
    <row r="440" spans="7:9" s="30" customFormat="1" ht="12.75">
      <c r="G440" s="36"/>
      <c r="H440" s="36"/>
      <c r="I440" s="36"/>
    </row>
    <row r="441" spans="7:9" s="30" customFormat="1" ht="12.75">
      <c r="G441" s="36"/>
      <c r="H441" s="36"/>
      <c r="I441" s="36"/>
    </row>
    <row r="442" spans="7:9" s="30" customFormat="1" ht="12.75">
      <c r="G442" s="36"/>
      <c r="H442" s="36"/>
      <c r="I442" s="36"/>
    </row>
    <row r="443" spans="7:9" s="30" customFormat="1" ht="12.75">
      <c r="G443" s="36"/>
      <c r="H443" s="36"/>
      <c r="I443" s="36"/>
    </row>
    <row r="444" spans="7:9" s="30" customFormat="1" ht="12.75">
      <c r="G444" s="36"/>
      <c r="H444" s="36"/>
      <c r="I444" s="36"/>
    </row>
    <row r="445" spans="7:9" s="30" customFormat="1" ht="12.75">
      <c r="G445" s="36"/>
      <c r="H445" s="36"/>
      <c r="I445" s="36"/>
    </row>
    <row r="446" spans="7:9" s="30" customFormat="1" ht="12.75">
      <c r="G446" s="36"/>
      <c r="H446" s="36"/>
      <c r="I446" s="36"/>
    </row>
    <row r="447" spans="7:9" s="30" customFormat="1" ht="12.75">
      <c r="G447" s="36"/>
      <c r="H447" s="36"/>
      <c r="I447" s="36"/>
    </row>
    <row r="448" spans="7:9" s="30" customFormat="1" ht="12.75">
      <c r="G448" s="36"/>
      <c r="H448" s="36"/>
      <c r="I448" s="36"/>
    </row>
    <row r="449" spans="7:9" s="30" customFormat="1" ht="12.75">
      <c r="G449" s="36"/>
      <c r="H449" s="36"/>
      <c r="I449" s="36"/>
    </row>
    <row r="450" spans="7:9" s="30" customFormat="1" ht="12.75">
      <c r="G450" s="36"/>
      <c r="H450" s="36"/>
      <c r="I450" s="36"/>
    </row>
    <row r="451" spans="7:9" s="30" customFormat="1" ht="12.75">
      <c r="G451" s="36"/>
      <c r="H451" s="36"/>
      <c r="I451" s="36"/>
    </row>
    <row r="452" spans="7:9" s="30" customFormat="1" ht="12.75">
      <c r="G452" s="36"/>
      <c r="H452" s="36"/>
      <c r="I452" s="36"/>
    </row>
    <row r="453" spans="7:9" s="30" customFormat="1" ht="12.75">
      <c r="G453" s="36"/>
      <c r="H453" s="36"/>
      <c r="I453" s="36"/>
    </row>
    <row r="454" spans="7:9" s="30" customFormat="1" ht="12.75">
      <c r="G454" s="36"/>
      <c r="H454" s="36"/>
      <c r="I454" s="36"/>
    </row>
    <row r="455" spans="7:9" s="30" customFormat="1" ht="12.75">
      <c r="G455" s="36"/>
      <c r="H455" s="36"/>
      <c r="I455" s="36"/>
    </row>
    <row r="456" spans="7:9" s="30" customFormat="1" ht="12.75">
      <c r="G456" s="36"/>
      <c r="H456" s="36"/>
      <c r="I456" s="36"/>
    </row>
    <row r="457" spans="7:9" s="30" customFormat="1" ht="12.75">
      <c r="G457" s="36"/>
      <c r="H457" s="36"/>
      <c r="I457" s="36"/>
    </row>
    <row r="458" spans="7:9" s="30" customFormat="1" ht="12.75">
      <c r="G458" s="36"/>
      <c r="H458" s="36"/>
      <c r="I458" s="36"/>
    </row>
    <row r="459" spans="7:9" s="30" customFormat="1" ht="12.75">
      <c r="G459" s="36"/>
      <c r="H459" s="36"/>
      <c r="I459" s="36"/>
    </row>
    <row r="460" spans="7:9" s="30" customFormat="1" ht="12.75">
      <c r="G460" s="36"/>
      <c r="H460" s="36"/>
      <c r="I460" s="36"/>
    </row>
    <row r="461" spans="7:9" s="30" customFormat="1" ht="12.75">
      <c r="G461" s="36"/>
      <c r="H461" s="36"/>
      <c r="I461" s="36"/>
    </row>
    <row r="462" spans="7:9" s="30" customFormat="1" ht="12.75">
      <c r="G462" s="36"/>
      <c r="H462" s="36"/>
      <c r="I462" s="36"/>
    </row>
    <row r="463" spans="7:9" s="30" customFormat="1" ht="12.75">
      <c r="G463" s="36"/>
      <c r="H463" s="36"/>
      <c r="I463" s="36"/>
    </row>
    <row r="464" spans="7:9" s="30" customFormat="1" ht="12.75">
      <c r="G464" s="36"/>
      <c r="H464" s="36"/>
      <c r="I464" s="36"/>
    </row>
    <row r="465" spans="7:9" s="30" customFormat="1" ht="12.75">
      <c r="G465" s="36"/>
      <c r="H465" s="36"/>
      <c r="I465" s="36"/>
    </row>
    <row r="466" spans="7:9" s="30" customFormat="1" ht="12.75">
      <c r="G466" s="36"/>
      <c r="H466" s="36"/>
      <c r="I466" s="36"/>
    </row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  <row r="1056" s="30" customFormat="1" ht="12.75"/>
    <row r="1057" s="30" customFormat="1" ht="12.75"/>
    <row r="1058" s="30" customFormat="1" ht="12.75"/>
    <row r="1059" s="30" customFormat="1" ht="12.75"/>
    <row r="1060" s="30" customFormat="1" ht="12.75"/>
    <row r="1061" s="30" customFormat="1" ht="12.75"/>
    <row r="1062" s="30" customFormat="1" ht="12.75"/>
    <row r="1063" s="30" customFormat="1" ht="12.75"/>
    <row r="1064" s="30" customFormat="1" ht="12.75"/>
    <row r="1065" s="30" customFormat="1" ht="12.75"/>
    <row r="1066" s="30" customFormat="1" ht="12.75"/>
    <row r="1067" s="30" customFormat="1" ht="12.75"/>
    <row r="1068" s="30" customFormat="1" ht="12.75"/>
    <row r="1069" s="30" customFormat="1" ht="12.75"/>
    <row r="1070" s="30" customFormat="1" ht="12.75"/>
    <row r="1071" s="30" customFormat="1" ht="12.75"/>
    <row r="1072" s="30" customFormat="1" ht="12.75"/>
    <row r="1073" s="30" customFormat="1" ht="12.75"/>
    <row r="1074" s="30" customFormat="1" ht="12.75"/>
    <row r="1075" s="30" customFormat="1" ht="12.75"/>
    <row r="1076" s="30" customFormat="1" ht="12.75"/>
    <row r="1077" s="30" customFormat="1" ht="12.75"/>
    <row r="1078" s="30" customFormat="1" ht="12.75"/>
    <row r="1079" s="30" customFormat="1" ht="12.75"/>
    <row r="1080" s="30" customFormat="1" ht="12.75"/>
    <row r="1081" s="30" customFormat="1" ht="12.75"/>
    <row r="1082" s="30" customFormat="1" ht="12.75"/>
    <row r="1083" s="30" customFormat="1" ht="12.75"/>
    <row r="1084" s="30" customFormat="1" ht="12.75"/>
    <row r="1085" s="30" customFormat="1" ht="12.75"/>
    <row r="1086" s="30" customFormat="1" ht="12.75"/>
    <row r="1087" s="30" customFormat="1" ht="12.75"/>
    <row r="1088" s="30" customFormat="1" ht="12.75"/>
    <row r="1089" s="30" customFormat="1" ht="12.75"/>
    <row r="1090" s="30" customFormat="1" ht="12.75"/>
    <row r="1091" s="30" customFormat="1" ht="12.75"/>
    <row r="1092" s="30" customFormat="1" ht="12.75"/>
    <row r="1093" s="30" customFormat="1" ht="12.75"/>
    <row r="1094" s="30" customFormat="1" ht="12.75"/>
    <row r="1095" s="30" customFormat="1" ht="12.75"/>
    <row r="1096" s="30" customFormat="1" ht="12.75"/>
    <row r="1097" s="30" customFormat="1" ht="12.75"/>
    <row r="1098" s="30" customFormat="1" ht="12.75"/>
    <row r="1099" s="30" customFormat="1" ht="12.75"/>
    <row r="1100" s="30" customFormat="1" ht="12.75"/>
    <row r="1101" s="30" customFormat="1" ht="12.75"/>
    <row r="1102" s="30" customFormat="1" ht="12.75"/>
    <row r="1103" s="30" customFormat="1" ht="12.75"/>
    <row r="1104" s="30" customFormat="1" ht="12.75"/>
    <row r="1105" s="30" customFormat="1" ht="12.75"/>
    <row r="1106" s="30" customFormat="1" ht="12.75"/>
    <row r="1107" s="30" customFormat="1" ht="12.75"/>
    <row r="1108" s="30" customFormat="1" ht="12.75"/>
    <row r="1109" s="30" customFormat="1" ht="12.75"/>
    <row r="1110" s="30" customFormat="1" ht="12.75"/>
    <row r="1111" s="30" customFormat="1" ht="12.75"/>
    <row r="1112" s="30" customFormat="1" ht="12.75"/>
    <row r="1113" s="30" customFormat="1" ht="12.75"/>
    <row r="1114" s="30" customFormat="1" ht="12.75"/>
    <row r="1115" s="30" customFormat="1" ht="12.75"/>
    <row r="1116" s="30" customFormat="1" ht="12.75"/>
    <row r="1117" s="30" customFormat="1" ht="12.75"/>
    <row r="1118" s="30" customFormat="1" ht="12.75"/>
    <row r="1119" s="30" customFormat="1" ht="12.75"/>
    <row r="1120" s="30" customFormat="1" ht="12.75"/>
    <row r="1121" s="30" customFormat="1" ht="12.75"/>
    <row r="1122" s="30" customFormat="1" ht="12.75"/>
    <row r="1123" s="30" customFormat="1" ht="12.75"/>
    <row r="1124" s="30" customFormat="1" ht="12.75"/>
    <row r="1125" s="30" customFormat="1" ht="12.75"/>
    <row r="1126" s="30" customFormat="1" ht="12.75"/>
    <row r="1127" s="30" customFormat="1" ht="12.75"/>
    <row r="1128" s="30" customFormat="1" ht="12.75"/>
    <row r="1129" s="30" customFormat="1" ht="12.75"/>
    <row r="1130" s="30" customFormat="1" ht="12.75"/>
    <row r="1131" s="30" customFormat="1" ht="12.75"/>
    <row r="1132" s="30" customFormat="1" ht="12.75"/>
    <row r="1133" s="30" customFormat="1" ht="12.75"/>
    <row r="1134" s="30" customFormat="1" ht="12.75"/>
    <row r="1135" s="30" customFormat="1" ht="12.75"/>
    <row r="1136" s="30" customFormat="1" ht="12.75"/>
  </sheetData>
  <sheetProtection/>
  <mergeCells count="9">
    <mergeCell ref="A3:G3"/>
    <mergeCell ref="G5:G6"/>
    <mergeCell ref="I5:I6"/>
    <mergeCell ref="D1:F2"/>
    <mergeCell ref="A4:D4"/>
    <mergeCell ref="E4:F4"/>
    <mergeCell ref="A5:A6"/>
    <mergeCell ref="B5:E5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0.375" style="0" customWidth="1"/>
    <col min="2" max="2" width="7.625" style="0" customWidth="1"/>
    <col min="3" max="3" width="6.875" style="0" customWidth="1"/>
    <col min="4" max="4" width="9.875" style="0" customWidth="1"/>
    <col min="5" max="5" width="6.00390625" style="0" customWidth="1"/>
    <col min="6" max="6" width="17.25390625" style="0" customWidth="1"/>
    <col min="7" max="7" width="15.75390625" style="0" customWidth="1"/>
    <col min="9" max="9" width="13.875" style="0" customWidth="1"/>
    <col min="10" max="10" width="12.875" style="0" customWidth="1"/>
  </cols>
  <sheetData>
    <row r="1" spans="4:6" ht="25.5" customHeight="1">
      <c r="D1" s="134" t="s">
        <v>441</v>
      </c>
      <c r="E1" s="135"/>
      <c r="F1" s="135"/>
    </row>
    <row r="2" spans="4:6" ht="30" customHeight="1">
      <c r="D2" s="135"/>
      <c r="E2" s="135"/>
      <c r="F2" s="135"/>
    </row>
    <row r="3" spans="1:8" ht="28.5" customHeight="1">
      <c r="A3" s="139" t="s">
        <v>257</v>
      </c>
      <c r="B3" s="139"/>
      <c r="C3" s="139"/>
      <c r="D3" s="139"/>
      <c r="E3" s="139"/>
      <c r="F3" s="139"/>
      <c r="G3" s="139"/>
      <c r="H3" s="67"/>
    </row>
    <row r="4" spans="1:7" ht="16.5" customHeight="1">
      <c r="A4" s="136" t="s">
        <v>423</v>
      </c>
      <c r="B4" s="136"/>
      <c r="C4" s="136"/>
      <c r="D4" s="136"/>
      <c r="E4" s="137" t="s">
        <v>251</v>
      </c>
      <c r="F4" s="138"/>
      <c r="G4" s="50"/>
    </row>
    <row r="5" spans="1:9" ht="12.75" customHeight="1">
      <c r="A5" s="140" t="s">
        <v>0</v>
      </c>
      <c r="B5" s="140" t="s">
        <v>1</v>
      </c>
      <c r="C5" s="140"/>
      <c r="D5" s="140"/>
      <c r="E5" s="140"/>
      <c r="F5" s="132" t="s">
        <v>323</v>
      </c>
      <c r="G5" s="132" t="s">
        <v>200</v>
      </c>
      <c r="H5" s="35"/>
      <c r="I5" s="133"/>
    </row>
    <row r="6" spans="1:9" ht="35.25" customHeight="1">
      <c r="A6" s="140"/>
      <c r="B6" s="2" t="s">
        <v>4</v>
      </c>
      <c r="C6" s="3" t="s">
        <v>5</v>
      </c>
      <c r="D6" s="3" t="s">
        <v>6</v>
      </c>
      <c r="E6" s="3" t="s">
        <v>7</v>
      </c>
      <c r="F6" s="132"/>
      <c r="G6" s="132"/>
      <c r="H6" s="35"/>
      <c r="I6" s="133"/>
    </row>
    <row r="7" spans="1:9" ht="15">
      <c r="A7" s="5" t="s">
        <v>2</v>
      </c>
      <c r="B7" s="1"/>
      <c r="C7" s="1"/>
      <c r="D7" s="1"/>
      <c r="E7" s="1"/>
      <c r="F7" s="26"/>
      <c r="G7" s="26"/>
      <c r="H7" s="36"/>
      <c r="I7" s="37"/>
    </row>
    <row r="8" spans="1:9" ht="12.75">
      <c r="A8" s="5" t="s">
        <v>3</v>
      </c>
      <c r="B8" s="9" t="s">
        <v>9</v>
      </c>
      <c r="C8" s="9" t="s">
        <v>10</v>
      </c>
      <c r="D8" s="9" t="s">
        <v>8</v>
      </c>
      <c r="E8" s="9" t="s">
        <v>11</v>
      </c>
      <c r="F8" s="20">
        <f>F9+F12+F17+F26+F29</f>
        <v>44686153.660000004</v>
      </c>
      <c r="G8" s="20">
        <f>G9+G12+G17+G26+G29</f>
        <v>30552441.01</v>
      </c>
      <c r="H8" s="38"/>
      <c r="I8" s="39"/>
    </row>
    <row r="9" spans="1:9" ht="45">
      <c r="A9" s="6" t="s">
        <v>12</v>
      </c>
      <c r="B9" s="10" t="s">
        <v>9</v>
      </c>
      <c r="C9" s="10" t="s">
        <v>13</v>
      </c>
      <c r="D9" s="10" t="s">
        <v>8</v>
      </c>
      <c r="E9" s="10" t="s">
        <v>11</v>
      </c>
      <c r="F9" s="21">
        <f>F10</f>
        <v>1520000</v>
      </c>
      <c r="G9" s="21">
        <f>G10</f>
        <v>615181.39</v>
      </c>
      <c r="H9" s="40"/>
      <c r="I9" s="34"/>
    </row>
    <row r="10" spans="1:9" ht="12.75">
      <c r="A10" s="4" t="s">
        <v>16</v>
      </c>
      <c r="B10" s="11" t="s">
        <v>9</v>
      </c>
      <c r="C10" s="11" t="s">
        <v>13</v>
      </c>
      <c r="D10" s="11" t="s">
        <v>17</v>
      </c>
      <c r="E10" s="11" t="s">
        <v>11</v>
      </c>
      <c r="F10" s="19">
        <f>F11</f>
        <v>1520000</v>
      </c>
      <c r="G10" s="19">
        <f>G11</f>
        <v>615181.39</v>
      </c>
      <c r="H10" s="41"/>
      <c r="I10" s="31"/>
    </row>
    <row r="11" spans="1:9" ht="22.5">
      <c r="A11" s="4" t="s">
        <v>18</v>
      </c>
      <c r="B11" s="11" t="s">
        <v>9</v>
      </c>
      <c r="C11" s="11" t="s">
        <v>13</v>
      </c>
      <c r="D11" s="11" t="s">
        <v>17</v>
      </c>
      <c r="E11" s="11" t="s">
        <v>154</v>
      </c>
      <c r="F11" s="19">
        <v>1520000</v>
      </c>
      <c r="G11" s="19">
        <v>615181.39</v>
      </c>
      <c r="H11" s="41"/>
      <c r="I11" s="31"/>
    </row>
    <row r="12" spans="1:9" ht="54.75" customHeight="1">
      <c r="A12" s="6" t="s">
        <v>247</v>
      </c>
      <c r="B12" s="10" t="s">
        <v>9</v>
      </c>
      <c r="C12" s="10" t="s">
        <v>19</v>
      </c>
      <c r="D12" s="10" t="s">
        <v>8</v>
      </c>
      <c r="E12" s="10" t="s">
        <v>11</v>
      </c>
      <c r="F12" s="21">
        <f>F13+F15</f>
        <v>3270965</v>
      </c>
      <c r="G12" s="21">
        <f>G13+G15</f>
        <v>2219950.5300000003</v>
      </c>
      <c r="H12" s="40"/>
      <c r="I12" s="34"/>
    </row>
    <row r="13" spans="1:9" ht="12.75">
      <c r="A13" s="4" t="s">
        <v>20</v>
      </c>
      <c r="B13" s="11" t="s">
        <v>9</v>
      </c>
      <c r="C13" s="11" t="s">
        <v>19</v>
      </c>
      <c r="D13" s="11" t="s">
        <v>21</v>
      </c>
      <c r="E13" s="11" t="s">
        <v>11</v>
      </c>
      <c r="F13" s="19">
        <f>F14</f>
        <v>2433765</v>
      </c>
      <c r="G13" s="19">
        <f>G14</f>
        <v>1607866.83</v>
      </c>
      <c r="H13" s="41"/>
      <c r="I13" s="31"/>
    </row>
    <row r="14" spans="1:9" ht="22.5">
      <c r="A14" s="4" t="s">
        <v>18</v>
      </c>
      <c r="B14" s="11" t="s">
        <v>22</v>
      </c>
      <c r="C14" s="11" t="s">
        <v>19</v>
      </c>
      <c r="D14" s="11" t="s">
        <v>21</v>
      </c>
      <c r="E14" s="11" t="s">
        <v>154</v>
      </c>
      <c r="F14" s="19">
        <v>2433765</v>
      </c>
      <c r="G14" s="19">
        <f>944976.47+15207.72+228570+45115.3+59294+93127.36+104299.11+1178.99+116097.88</f>
        <v>1607866.83</v>
      </c>
      <c r="H14" s="41"/>
      <c r="I14" s="31"/>
    </row>
    <row r="15" spans="1:9" ht="22.5">
      <c r="A15" s="4" t="s">
        <v>191</v>
      </c>
      <c r="B15" s="11" t="s">
        <v>9</v>
      </c>
      <c r="C15" s="11" t="s">
        <v>19</v>
      </c>
      <c r="D15" s="11" t="s">
        <v>155</v>
      </c>
      <c r="E15" s="11" t="s">
        <v>11</v>
      </c>
      <c r="F15" s="19">
        <f>F16</f>
        <v>837200</v>
      </c>
      <c r="G15" s="19">
        <f>G16</f>
        <v>612083.7</v>
      </c>
      <c r="H15" s="41"/>
      <c r="I15" s="31"/>
    </row>
    <row r="16" spans="1:9" ht="24.75" customHeight="1">
      <c r="A16" s="4" t="s">
        <v>18</v>
      </c>
      <c r="B16" s="11" t="s">
        <v>9</v>
      </c>
      <c r="C16" s="11" t="s">
        <v>19</v>
      </c>
      <c r="D16" s="11" t="s">
        <v>155</v>
      </c>
      <c r="E16" s="11" t="s">
        <v>154</v>
      </c>
      <c r="F16" s="19">
        <v>837200</v>
      </c>
      <c r="G16" s="19">
        <f>517082.7+95001</f>
        <v>612083.7</v>
      </c>
      <c r="H16" s="41"/>
      <c r="I16" s="31"/>
    </row>
    <row r="17" spans="1:9" ht="54" customHeight="1">
      <c r="A17" s="6" t="s">
        <v>24</v>
      </c>
      <c r="B17" s="10" t="s">
        <v>22</v>
      </c>
      <c r="C17" s="10" t="s">
        <v>25</v>
      </c>
      <c r="D17" s="10" t="s">
        <v>8</v>
      </c>
      <c r="E17" s="10" t="s">
        <v>11</v>
      </c>
      <c r="F17" s="21">
        <f>F18+F20+F22+F24</f>
        <v>28011876.91</v>
      </c>
      <c r="G17" s="21">
        <f>G18+G20+G22+G24</f>
        <v>20333287.970000003</v>
      </c>
      <c r="H17" s="40"/>
      <c r="I17" s="34"/>
    </row>
    <row r="18" spans="1:9" ht="12.75">
      <c r="A18" s="4" t="s">
        <v>20</v>
      </c>
      <c r="B18" s="11" t="s">
        <v>9</v>
      </c>
      <c r="C18" s="11" t="s">
        <v>25</v>
      </c>
      <c r="D18" s="11" t="s">
        <v>21</v>
      </c>
      <c r="E18" s="11" t="s">
        <v>11</v>
      </c>
      <c r="F18" s="19">
        <f>F19</f>
        <v>27497476.91</v>
      </c>
      <c r="G18" s="19">
        <f>G19</f>
        <v>19831089.84</v>
      </c>
      <c r="H18" s="41"/>
      <c r="I18" s="31"/>
    </row>
    <row r="19" spans="1:9" s="14" customFormat="1" ht="22.5">
      <c r="A19" s="28" t="s">
        <v>18</v>
      </c>
      <c r="B19" s="51" t="s">
        <v>9</v>
      </c>
      <c r="C19" s="51" t="s">
        <v>25</v>
      </c>
      <c r="D19" s="51" t="s">
        <v>21</v>
      </c>
      <c r="E19" s="51" t="s">
        <v>154</v>
      </c>
      <c r="F19" s="19">
        <v>27497476.91</v>
      </c>
      <c r="G19" s="19">
        <f>10811781.72+2782824.78+616148.8+10066+362553.83+478906.16+2743767.26+949437.49+49010+1026593.8</f>
        <v>19831089.84</v>
      </c>
      <c r="H19" s="41"/>
      <c r="I19" s="31"/>
    </row>
    <row r="20" spans="1:9" s="14" customFormat="1" ht="33.75">
      <c r="A20" s="28" t="s">
        <v>193</v>
      </c>
      <c r="B20" s="51" t="s">
        <v>9</v>
      </c>
      <c r="C20" s="51" t="s">
        <v>25</v>
      </c>
      <c r="D20" s="51" t="s">
        <v>333</v>
      </c>
      <c r="E20" s="51" t="s">
        <v>11</v>
      </c>
      <c r="F20" s="19">
        <f>F21</f>
        <v>228300</v>
      </c>
      <c r="G20" s="19">
        <f>G21</f>
        <v>227143.53000000003</v>
      </c>
      <c r="H20" s="41"/>
      <c r="I20" s="31"/>
    </row>
    <row r="21" spans="1:9" s="14" customFormat="1" ht="23.25" customHeight="1">
      <c r="A21" s="28" t="s">
        <v>18</v>
      </c>
      <c r="B21" s="51" t="s">
        <v>9</v>
      </c>
      <c r="C21" s="51" t="s">
        <v>25</v>
      </c>
      <c r="D21" s="51" t="s">
        <v>333</v>
      </c>
      <c r="E21" s="51" t="s">
        <v>154</v>
      </c>
      <c r="F21" s="19">
        <v>228300</v>
      </c>
      <c r="G21" s="19">
        <f>183702.17+29876.86+13564.5</f>
        <v>227143.53000000003</v>
      </c>
      <c r="H21" s="41"/>
      <c r="I21" s="31"/>
    </row>
    <row r="22" spans="1:9" s="14" customFormat="1" ht="45">
      <c r="A22" s="28" t="s">
        <v>195</v>
      </c>
      <c r="B22" s="51" t="s">
        <v>9</v>
      </c>
      <c r="C22" s="51" t="s">
        <v>25</v>
      </c>
      <c r="D22" s="51" t="s">
        <v>334</v>
      </c>
      <c r="E22" s="51" t="s">
        <v>11</v>
      </c>
      <c r="F22" s="19">
        <f>F23</f>
        <v>241700</v>
      </c>
      <c r="G22" s="19">
        <f>G23</f>
        <v>230654.6</v>
      </c>
      <c r="H22" s="41"/>
      <c r="I22" s="31"/>
    </row>
    <row r="23" spans="1:9" s="14" customFormat="1" ht="23.25" customHeight="1">
      <c r="A23" s="28" t="s">
        <v>18</v>
      </c>
      <c r="B23" s="51" t="s">
        <v>9</v>
      </c>
      <c r="C23" s="51" t="s">
        <v>25</v>
      </c>
      <c r="D23" s="51" t="s">
        <v>334</v>
      </c>
      <c r="E23" s="51" t="s">
        <v>154</v>
      </c>
      <c r="F23" s="19">
        <f>230654.6+11045.4</f>
        <v>241700</v>
      </c>
      <c r="G23" s="19">
        <f>160995+69659.6</f>
        <v>230654.6</v>
      </c>
      <c r="H23" s="41"/>
      <c r="I23" s="31"/>
    </row>
    <row r="24" spans="1:9" s="14" customFormat="1" ht="56.25">
      <c r="A24" s="28" t="s">
        <v>381</v>
      </c>
      <c r="B24" s="51" t="s">
        <v>9</v>
      </c>
      <c r="C24" s="51" t="s">
        <v>25</v>
      </c>
      <c r="D24" s="51" t="s">
        <v>335</v>
      </c>
      <c r="E24" s="51" t="s">
        <v>11</v>
      </c>
      <c r="F24" s="19">
        <f>F25</f>
        <v>44400</v>
      </c>
      <c r="G24" s="19">
        <f>G25</f>
        <v>44400</v>
      </c>
      <c r="H24" s="41"/>
      <c r="I24" s="31"/>
    </row>
    <row r="25" spans="1:9" s="14" customFormat="1" ht="21" customHeight="1">
      <c r="A25" s="28" t="s">
        <v>18</v>
      </c>
      <c r="B25" s="51" t="s">
        <v>9</v>
      </c>
      <c r="C25" s="51" t="s">
        <v>25</v>
      </c>
      <c r="D25" s="51" t="s">
        <v>335</v>
      </c>
      <c r="E25" s="51" t="s">
        <v>154</v>
      </c>
      <c r="F25" s="19">
        <v>44400</v>
      </c>
      <c r="G25" s="19">
        <f>12200+32200</f>
        <v>44400</v>
      </c>
      <c r="H25" s="41"/>
      <c r="I25" s="31"/>
    </row>
    <row r="26" spans="1:9" ht="56.25">
      <c r="A26" s="6" t="s">
        <v>30</v>
      </c>
      <c r="B26" s="10" t="s">
        <v>9</v>
      </c>
      <c r="C26" s="10" t="s">
        <v>31</v>
      </c>
      <c r="D26" s="10" t="s">
        <v>8</v>
      </c>
      <c r="E26" s="10" t="s">
        <v>11</v>
      </c>
      <c r="F26" s="21">
        <f>F27</f>
        <v>10464816.04</v>
      </c>
      <c r="G26" s="21">
        <f>G27</f>
        <v>6374659.42</v>
      </c>
      <c r="H26" s="40"/>
      <c r="I26" s="34"/>
    </row>
    <row r="27" spans="1:9" ht="38.25" customHeight="1">
      <c r="A27" s="4" t="s">
        <v>382</v>
      </c>
      <c r="B27" s="11" t="s">
        <v>9</v>
      </c>
      <c r="C27" s="11" t="s">
        <v>31</v>
      </c>
      <c r="D27" s="11" t="s">
        <v>336</v>
      </c>
      <c r="E27" s="11" t="s">
        <v>11</v>
      </c>
      <c r="F27" s="19">
        <f>F28</f>
        <v>10464816.04</v>
      </c>
      <c r="G27" s="19">
        <f>G28</f>
        <v>6374659.42</v>
      </c>
      <c r="H27" s="41"/>
      <c r="I27" s="31"/>
    </row>
    <row r="28" spans="1:9" ht="22.5">
      <c r="A28" s="4" t="s">
        <v>18</v>
      </c>
      <c r="B28" s="11" t="s">
        <v>9</v>
      </c>
      <c r="C28" s="11" t="s">
        <v>31</v>
      </c>
      <c r="D28" s="11" t="s">
        <v>336</v>
      </c>
      <c r="E28" s="11" t="s">
        <v>154</v>
      </c>
      <c r="F28" s="19">
        <v>10464816.04</v>
      </c>
      <c r="G28" s="19">
        <v>6374659.42</v>
      </c>
      <c r="H28" s="41"/>
      <c r="I28" s="31"/>
    </row>
    <row r="29" spans="1:9" ht="22.5">
      <c r="A29" s="6" t="s">
        <v>34</v>
      </c>
      <c r="B29" s="10" t="s">
        <v>9</v>
      </c>
      <c r="C29" s="10" t="s">
        <v>35</v>
      </c>
      <c r="D29" s="10" t="s">
        <v>8</v>
      </c>
      <c r="E29" s="10" t="s">
        <v>11</v>
      </c>
      <c r="F29" s="21">
        <f>F30</f>
        <v>1418495.71</v>
      </c>
      <c r="G29" s="21">
        <f>G30</f>
        <v>1009361.7000000001</v>
      </c>
      <c r="H29" s="40"/>
      <c r="I29" s="34"/>
    </row>
    <row r="30" spans="1:9" ht="22.5">
      <c r="A30" s="4" t="s">
        <v>36</v>
      </c>
      <c r="B30" s="11" t="s">
        <v>9</v>
      </c>
      <c r="C30" s="11" t="s">
        <v>35</v>
      </c>
      <c r="D30" s="11" t="s">
        <v>37</v>
      </c>
      <c r="E30" s="11" t="s">
        <v>11</v>
      </c>
      <c r="F30" s="19">
        <f>F31</f>
        <v>1418495.71</v>
      </c>
      <c r="G30" s="19">
        <f>G31</f>
        <v>1009361.7000000001</v>
      </c>
      <c r="H30" s="41"/>
      <c r="I30" s="31"/>
    </row>
    <row r="31" spans="1:9" ht="22.5">
      <c r="A31" s="4" t="s">
        <v>18</v>
      </c>
      <c r="B31" s="11" t="s">
        <v>9</v>
      </c>
      <c r="C31" s="11" t="s">
        <v>35</v>
      </c>
      <c r="D31" s="11" t="s">
        <v>37</v>
      </c>
      <c r="E31" s="11" t="s">
        <v>154</v>
      </c>
      <c r="F31" s="19">
        <f>1294295.71+124199.98+0.02</f>
        <v>1418495.71</v>
      </c>
      <c r="G31" s="19">
        <f>390910.71+96246+20195.71+439349.28+44660+18000</f>
        <v>1009361.7000000001</v>
      </c>
      <c r="H31" s="41"/>
      <c r="I31" s="31"/>
    </row>
    <row r="32" spans="1:9" ht="25.5" customHeight="1">
      <c r="A32" s="7" t="s">
        <v>40</v>
      </c>
      <c r="B32" s="9" t="s">
        <v>19</v>
      </c>
      <c r="C32" s="9" t="s">
        <v>10</v>
      </c>
      <c r="D32" s="9" t="s">
        <v>33</v>
      </c>
      <c r="E32" s="9" t="s">
        <v>11</v>
      </c>
      <c r="F32" s="24">
        <f>F33+F48</f>
        <v>33847872.58</v>
      </c>
      <c r="G32" s="24">
        <f>G33+G48</f>
        <v>26313275.14</v>
      </c>
      <c r="H32" s="38"/>
      <c r="I32" s="39"/>
    </row>
    <row r="33" spans="1:9" ht="14.25" customHeight="1">
      <c r="A33" s="6" t="s">
        <v>41</v>
      </c>
      <c r="B33" s="10" t="s">
        <v>19</v>
      </c>
      <c r="C33" s="10" t="s">
        <v>13</v>
      </c>
      <c r="D33" s="10" t="s">
        <v>8</v>
      </c>
      <c r="E33" s="10" t="s">
        <v>11</v>
      </c>
      <c r="F33" s="21">
        <f>F34+F36+F38+F40+F42+F44+F46</f>
        <v>16566408.32</v>
      </c>
      <c r="G33" s="21">
        <f>G34+G36+G38+G40+G42+G44+G46</f>
        <v>9713060.88</v>
      </c>
      <c r="H33" s="40"/>
      <c r="I33" s="34"/>
    </row>
    <row r="34" spans="1:9" ht="80.25" customHeight="1">
      <c r="A34" s="4" t="s">
        <v>42</v>
      </c>
      <c r="B34" s="11" t="s">
        <v>19</v>
      </c>
      <c r="C34" s="11" t="s">
        <v>13</v>
      </c>
      <c r="D34" s="11" t="s">
        <v>43</v>
      </c>
      <c r="E34" s="11" t="s">
        <v>11</v>
      </c>
      <c r="F34" s="19">
        <f>F35</f>
        <v>3739000</v>
      </c>
      <c r="G34" s="19">
        <f>G35</f>
        <v>1592000</v>
      </c>
      <c r="H34" s="41"/>
      <c r="I34" s="31"/>
    </row>
    <row r="35" spans="1:9" ht="45">
      <c r="A35" s="4" t="s">
        <v>44</v>
      </c>
      <c r="B35" s="11" t="s">
        <v>19</v>
      </c>
      <c r="C35" s="11" t="s">
        <v>13</v>
      </c>
      <c r="D35" s="11" t="s">
        <v>43</v>
      </c>
      <c r="E35" s="11" t="s">
        <v>45</v>
      </c>
      <c r="F35" s="19">
        <v>3739000</v>
      </c>
      <c r="G35" s="19">
        <f>1378450+144000+49300+20250</f>
        <v>1592000</v>
      </c>
      <c r="H35" s="41"/>
      <c r="I35" s="31"/>
    </row>
    <row r="36" spans="1:9" ht="12.75">
      <c r="A36" s="4" t="s">
        <v>46</v>
      </c>
      <c r="B36" s="11" t="s">
        <v>19</v>
      </c>
      <c r="C36" s="11" t="s">
        <v>13</v>
      </c>
      <c r="D36" s="11" t="s">
        <v>47</v>
      </c>
      <c r="E36" s="11" t="s">
        <v>11</v>
      </c>
      <c r="F36" s="19">
        <f>F37</f>
        <v>8880721.8</v>
      </c>
      <c r="G36" s="19">
        <f>G37</f>
        <v>5894250</v>
      </c>
      <c r="H36" s="41"/>
      <c r="I36" s="31"/>
    </row>
    <row r="37" spans="1:9" ht="45">
      <c r="A37" s="4" t="s">
        <v>44</v>
      </c>
      <c r="B37" s="11" t="s">
        <v>19</v>
      </c>
      <c r="C37" s="11" t="s">
        <v>13</v>
      </c>
      <c r="D37" s="11" t="s">
        <v>47</v>
      </c>
      <c r="E37" s="11" t="s">
        <v>45</v>
      </c>
      <c r="F37" s="19">
        <v>8880721.8</v>
      </c>
      <c r="G37" s="19">
        <f>5870000+24250</f>
        <v>5894250</v>
      </c>
      <c r="H37" s="41"/>
      <c r="I37" s="31"/>
    </row>
    <row r="38" spans="1:9" ht="33" customHeight="1">
      <c r="A38" s="4" t="s">
        <v>159</v>
      </c>
      <c r="B38" s="11" t="s">
        <v>19</v>
      </c>
      <c r="C38" s="11" t="s">
        <v>13</v>
      </c>
      <c r="D38" s="11" t="s">
        <v>156</v>
      </c>
      <c r="E38" s="11" t="s">
        <v>11</v>
      </c>
      <c r="F38" s="19">
        <f>F39</f>
        <v>2621128.2</v>
      </c>
      <c r="G38" s="19">
        <f>G39</f>
        <v>1465149.1400000001</v>
      </c>
      <c r="H38" s="41"/>
      <c r="I38" s="31"/>
    </row>
    <row r="39" spans="1:9" ht="45">
      <c r="A39" s="4" t="s">
        <v>44</v>
      </c>
      <c r="B39" s="11" t="s">
        <v>19</v>
      </c>
      <c r="C39" s="11" t="s">
        <v>13</v>
      </c>
      <c r="D39" s="11" t="s">
        <v>156</v>
      </c>
      <c r="E39" s="11" t="s">
        <v>45</v>
      </c>
      <c r="F39" s="19">
        <v>2621128.2</v>
      </c>
      <c r="G39" s="19">
        <f>268167.5+25000+66246.25+124746.53+485+123100+25886.2+121087.66+710430</f>
        <v>1465149.1400000001</v>
      </c>
      <c r="H39" s="41"/>
      <c r="I39" s="31"/>
    </row>
    <row r="40" spans="1:9" s="14" customFormat="1" ht="36" customHeight="1">
      <c r="A40" s="28" t="s">
        <v>326</v>
      </c>
      <c r="B40" s="51" t="s">
        <v>19</v>
      </c>
      <c r="C40" s="51" t="s">
        <v>13</v>
      </c>
      <c r="D40" s="51" t="s">
        <v>318</v>
      </c>
      <c r="E40" s="51" t="s">
        <v>11</v>
      </c>
      <c r="F40" s="19">
        <f>F41</f>
        <v>277500</v>
      </c>
      <c r="G40" s="19">
        <f>G41</f>
        <v>110002.57</v>
      </c>
      <c r="H40" s="41"/>
      <c r="I40" s="31"/>
    </row>
    <row r="41" spans="1:9" s="14" customFormat="1" ht="45">
      <c r="A41" s="28" t="s">
        <v>44</v>
      </c>
      <c r="B41" s="51" t="s">
        <v>19</v>
      </c>
      <c r="C41" s="51" t="s">
        <v>13</v>
      </c>
      <c r="D41" s="51" t="s">
        <v>318</v>
      </c>
      <c r="E41" s="51" t="s">
        <v>45</v>
      </c>
      <c r="F41" s="19">
        <v>277500</v>
      </c>
      <c r="G41" s="19">
        <f>110002.57</f>
        <v>110002.57</v>
      </c>
      <c r="H41" s="41"/>
      <c r="I41" s="31"/>
    </row>
    <row r="42" spans="1:9" s="14" customFormat="1" ht="24" customHeight="1">
      <c r="A42" s="28" t="s">
        <v>327</v>
      </c>
      <c r="B42" s="51" t="s">
        <v>19</v>
      </c>
      <c r="C42" s="51" t="s">
        <v>13</v>
      </c>
      <c r="D42" s="51" t="s">
        <v>319</v>
      </c>
      <c r="E42" s="51" t="s">
        <v>11</v>
      </c>
      <c r="F42" s="19">
        <f>F43</f>
        <v>340000</v>
      </c>
      <c r="G42" s="19">
        <f>G43</f>
        <v>215296.72999999998</v>
      </c>
      <c r="H42" s="41"/>
      <c r="I42" s="31"/>
    </row>
    <row r="43" spans="1:9" ht="45">
      <c r="A43" s="4" t="s">
        <v>44</v>
      </c>
      <c r="B43" s="11" t="s">
        <v>19</v>
      </c>
      <c r="C43" s="11" t="s">
        <v>13</v>
      </c>
      <c r="D43" s="11" t="s">
        <v>319</v>
      </c>
      <c r="E43" s="11" t="s">
        <v>45</v>
      </c>
      <c r="F43" s="19">
        <v>340000</v>
      </c>
      <c r="G43" s="19">
        <f>95296.73+120000</f>
        <v>215296.72999999998</v>
      </c>
      <c r="H43" s="41"/>
      <c r="I43" s="31"/>
    </row>
    <row r="44" spans="1:9" ht="46.5" customHeight="1">
      <c r="A44" s="4" t="s">
        <v>158</v>
      </c>
      <c r="B44" s="11" t="s">
        <v>19</v>
      </c>
      <c r="C44" s="11" t="s">
        <v>13</v>
      </c>
      <c r="D44" s="11" t="s">
        <v>157</v>
      </c>
      <c r="E44" s="11" t="s">
        <v>11</v>
      </c>
      <c r="F44" s="19">
        <f>F45</f>
        <v>676058.32</v>
      </c>
      <c r="G44" s="19">
        <f>G45</f>
        <v>404362.44</v>
      </c>
      <c r="H44" s="41"/>
      <c r="I44" s="31"/>
    </row>
    <row r="45" spans="1:9" ht="12.75">
      <c r="A45" s="4" t="s">
        <v>48</v>
      </c>
      <c r="B45" s="11" t="s">
        <v>19</v>
      </c>
      <c r="C45" s="11" t="s">
        <v>13</v>
      </c>
      <c r="D45" s="11" t="s">
        <v>157</v>
      </c>
      <c r="E45" s="11" t="s">
        <v>49</v>
      </c>
      <c r="F45" s="19">
        <v>676058.32</v>
      </c>
      <c r="G45" s="19">
        <f>214546.44+57996+131820</f>
        <v>404362.44</v>
      </c>
      <c r="H45" s="41"/>
      <c r="I45" s="31"/>
    </row>
    <row r="46" spans="1:9" s="14" customFormat="1" ht="22.5">
      <c r="A46" s="4" t="s">
        <v>58</v>
      </c>
      <c r="B46" s="51" t="s">
        <v>19</v>
      </c>
      <c r="C46" s="51" t="s">
        <v>13</v>
      </c>
      <c r="D46" s="51" t="s">
        <v>51</v>
      </c>
      <c r="E46" s="51" t="s">
        <v>11</v>
      </c>
      <c r="F46" s="19">
        <f>F47</f>
        <v>32000</v>
      </c>
      <c r="G46" s="19">
        <f>G47</f>
        <v>32000</v>
      </c>
      <c r="H46" s="41"/>
      <c r="I46" s="31"/>
    </row>
    <row r="47" spans="1:9" s="14" customFormat="1" ht="22.5">
      <c r="A47" s="28" t="s">
        <v>18</v>
      </c>
      <c r="B47" s="51" t="s">
        <v>19</v>
      </c>
      <c r="C47" s="51" t="s">
        <v>13</v>
      </c>
      <c r="D47" s="51" t="s">
        <v>51</v>
      </c>
      <c r="E47" s="51" t="s">
        <v>154</v>
      </c>
      <c r="F47" s="19">
        <v>32000</v>
      </c>
      <c r="G47" s="19">
        <f>32000</f>
        <v>32000</v>
      </c>
      <c r="H47" s="41"/>
      <c r="I47" s="31"/>
    </row>
    <row r="48" spans="1:9" ht="44.25" customHeight="1">
      <c r="A48" s="6" t="s">
        <v>127</v>
      </c>
      <c r="B48" s="10" t="s">
        <v>19</v>
      </c>
      <c r="C48" s="10" t="s">
        <v>72</v>
      </c>
      <c r="D48" s="10" t="s">
        <v>8</v>
      </c>
      <c r="E48" s="10" t="s">
        <v>11</v>
      </c>
      <c r="F48" s="21">
        <f>F51+F49</f>
        <v>17281464.26</v>
      </c>
      <c r="G48" s="21">
        <f>G51+G49</f>
        <v>16600214.26</v>
      </c>
      <c r="H48" s="40"/>
      <c r="I48" s="34"/>
    </row>
    <row r="49" spans="1:9" s="75" customFormat="1" ht="33.75">
      <c r="A49" s="28" t="s">
        <v>433</v>
      </c>
      <c r="B49" s="71" t="s">
        <v>19</v>
      </c>
      <c r="C49" s="71" t="s">
        <v>72</v>
      </c>
      <c r="D49" s="51" t="s">
        <v>424</v>
      </c>
      <c r="E49" s="51" t="s">
        <v>11</v>
      </c>
      <c r="F49" s="72">
        <f>F50</f>
        <v>400000</v>
      </c>
      <c r="G49" s="72">
        <f>G50</f>
        <v>0</v>
      </c>
      <c r="H49" s="73"/>
      <c r="I49" s="74"/>
    </row>
    <row r="50" spans="1:9" s="75" customFormat="1" ht="22.5">
      <c r="A50" s="28" t="s">
        <v>18</v>
      </c>
      <c r="B50" s="51" t="s">
        <v>19</v>
      </c>
      <c r="C50" s="51" t="s">
        <v>72</v>
      </c>
      <c r="D50" s="51" t="s">
        <v>424</v>
      </c>
      <c r="E50" s="51" t="s">
        <v>154</v>
      </c>
      <c r="F50" s="72">
        <v>400000</v>
      </c>
      <c r="G50" s="72"/>
      <c r="H50" s="73"/>
      <c r="I50" s="74"/>
    </row>
    <row r="51" spans="1:9" ht="44.25" customHeight="1">
      <c r="A51" s="4" t="s">
        <v>128</v>
      </c>
      <c r="B51" s="11" t="s">
        <v>19</v>
      </c>
      <c r="C51" s="11" t="s">
        <v>72</v>
      </c>
      <c r="D51" s="11" t="s">
        <v>320</v>
      </c>
      <c r="E51" s="11" t="s">
        <v>11</v>
      </c>
      <c r="F51" s="19">
        <f>F52</f>
        <v>16881464.26</v>
      </c>
      <c r="G51" s="19">
        <f>G52</f>
        <v>16600214.26</v>
      </c>
      <c r="H51" s="41"/>
      <c r="I51" s="31"/>
    </row>
    <row r="52" spans="1:9" ht="22.5">
      <c r="A52" s="4" t="s">
        <v>18</v>
      </c>
      <c r="B52" s="11" t="s">
        <v>19</v>
      </c>
      <c r="C52" s="11" t="s">
        <v>72</v>
      </c>
      <c r="D52" s="11" t="s">
        <v>320</v>
      </c>
      <c r="E52" s="11" t="s">
        <v>154</v>
      </c>
      <c r="F52" s="19">
        <v>16881464.26</v>
      </c>
      <c r="G52" s="19">
        <f>1138489+15461725.26</f>
        <v>16600214.26</v>
      </c>
      <c r="H52" s="41"/>
      <c r="I52" s="31"/>
    </row>
    <row r="53" spans="1:9" ht="12.75">
      <c r="A53" s="7" t="s">
        <v>52</v>
      </c>
      <c r="B53" s="9" t="s">
        <v>25</v>
      </c>
      <c r="C53" s="9" t="s">
        <v>10</v>
      </c>
      <c r="D53" s="9" t="s">
        <v>8</v>
      </c>
      <c r="E53" s="9" t="s">
        <v>11</v>
      </c>
      <c r="F53" s="24">
        <f>F54+F59+F64</f>
        <v>6449254.63</v>
      </c>
      <c r="G53" s="24">
        <f>G54+G59+G64</f>
        <v>4927417.0600000005</v>
      </c>
      <c r="H53" s="38"/>
      <c r="I53" s="39"/>
    </row>
    <row r="54" spans="1:9" ht="12.75">
      <c r="A54" s="6" t="s">
        <v>53</v>
      </c>
      <c r="B54" s="10" t="s">
        <v>25</v>
      </c>
      <c r="C54" s="10" t="s">
        <v>27</v>
      </c>
      <c r="D54" s="10" t="s">
        <v>8</v>
      </c>
      <c r="E54" s="10" t="s">
        <v>11</v>
      </c>
      <c r="F54" s="21">
        <f>F57+F56</f>
        <v>3271769.9</v>
      </c>
      <c r="G54" s="21">
        <f>G57+G56</f>
        <v>2967148.5100000007</v>
      </c>
      <c r="H54" s="40"/>
      <c r="I54" s="34"/>
    </row>
    <row r="55" spans="1:9" s="14" customFormat="1" ht="33.75">
      <c r="A55" s="28" t="s">
        <v>421</v>
      </c>
      <c r="B55" s="57" t="s">
        <v>25</v>
      </c>
      <c r="C55" s="57" t="s">
        <v>27</v>
      </c>
      <c r="D55" s="51" t="s">
        <v>337</v>
      </c>
      <c r="E55" s="57" t="s">
        <v>11</v>
      </c>
      <c r="F55" s="27">
        <f>F56</f>
        <v>487069.9</v>
      </c>
      <c r="G55" s="27">
        <f>G56</f>
        <v>480835.01</v>
      </c>
      <c r="H55" s="40"/>
      <c r="I55" s="34"/>
    </row>
    <row r="56" spans="1:9" s="14" customFormat="1" ht="22.5">
      <c r="A56" s="28" t="s">
        <v>18</v>
      </c>
      <c r="B56" s="15" t="s">
        <v>25</v>
      </c>
      <c r="C56" s="15" t="s">
        <v>27</v>
      </c>
      <c r="D56" s="51" t="s">
        <v>337</v>
      </c>
      <c r="E56" s="51" t="s">
        <v>154</v>
      </c>
      <c r="F56" s="27">
        <v>487069.9</v>
      </c>
      <c r="G56" s="27">
        <f>41534.6+9490+144800.61+26370+258639.8</f>
        <v>480835.01</v>
      </c>
      <c r="H56" s="40"/>
      <c r="I56" s="34"/>
    </row>
    <row r="57" spans="1:9" s="14" customFormat="1" ht="45">
      <c r="A57" s="28" t="s">
        <v>160</v>
      </c>
      <c r="B57" s="51" t="s">
        <v>25</v>
      </c>
      <c r="C57" s="51" t="s">
        <v>27</v>
      </c>
      <c r="D57" s="51" t="s">
        <v>338</v>
      </c>
      <c r="E57" s="51" t="s">
        <v>11</v>
      </c>
      <c r="F57" s="19">
        <f>F58</f>
        <v>2784700</v>
      </c>
      <c r="G57" s="19">
        <f>G58</f>
        <v>2486313.5000000005</v>
      </c>
      <c r="H57" s="41"/>
      <c r="I57" s="31"/>
    </row>
    <row r="58" spans="1:9" s="14" customFormat="1" ht="22.5">
      <c r="A58" s="28" t="s">
        <v>18</v>
      </c>
      <c r="B58" s="51" t="s">
        <v>25</v>
      </c>
      <c r="C58" s="51" t="s">
        <v>27</v>
      </c>
      <c r="D58" s="51" t="s">
        <v>338</v>
      </c>
      <c r="E58" s="51" t="s">
        <v>154</v>
      </c>
      <c r="F58" s="19">
        <v>2784700</v>
      </c>
      <c r="G58" s="19">
        <f>1825732.36+434146.55+56318.04+51983.27+68597.61+11590.7+9181.06+28763.91</f>
        <v>2486313.5000000005</v>
      </c>
      <c r="H58" s="41"/>
      <c r="I58" s="31"/>
    </row>
    <row r="59" spans="1:9" ht="12.75">
      <c r="A59" s="6" t="s">
        <v>214</v>
      </c>
      <c r="B59" s="10" t="s">
        <v>25</v>
      </c>
      <c r="C59" s="10" t="s">
        <v>72</v>
      </c>
      <c r="D59" s="10" t="s">
        <v>8</v>
      </c>
      <c r="E59" s="10" t="s">
        <v>213</v>
      </c>
      <c r="F59" s="21">
        <f>F62+F60</f>
        <v>1772610.24</v>
      </c>
      <c r="G59" s="21">
        <f>G62+G60</f>
        <v>1772610.24</v>
      </c>
      <c r="H59" s="40"/>
      <c r="I59" s="34"/>
    </row>
    <row r="60" spans="1:9" ht="45">
      <c r="A60" s="4" t="s">
        <v>228</v>
      </c>
      <c r="B60" s="13" t="s">
        <v>25</v>
      </c>
      <c r="C60" s="13" t="s">
        <v>72</v>
      </c>
      <c r="D60" s="13" t="s">
        <v>248</v>
      </c>
      <c r="E60" s="13" t="s">
        <v>11</v>
      </c>
      <c r="F60" s="27">
        <f>F61</f>
        <v>1570000</v>
      </c>
      <c r="G60" s="27">
        <f>G61</f>
        <v>1570000</v>
      </c>
      <c r="H60" s="40"/>
      <c r="I60" s="34"/>
    </row>
    <row r="61" spans="1:9" ht="12.75">
      <c r="A61" s="4" t="s">
        <v>219</v>
      </c>
      <c r="B61" s="13" t="s">
        <v>25</v>
      </c>
      <c r="C61" s="13" t="s">
        <v>72</v>
      </c>
      <c r="D61" s="13" t="s">
        <v>248</v>
      </c>
      <c r="E61" s="13" t="s">
        <v>203</v>
      </c>
      <c r="F61" s="27">
        <v>1570000</v>
      </c>
      <c r="G61" s="27">
        <v>1570000</v>
      </c>
      <c r="H61" s="40"/>
      <c r="I61" s="34"/>
    </row>
    <row r="62" spans="1:9" ht="22.5">
      <c r="A62" s="4" t="s">
        <v>293</v>
      </c>
      <c r="B62" s="11" t="s">
        <v>25</v>
      </c>
      <c r="C62" s="11" t="s">
        <v>72</v>
      </c>
      <c r="D62" s="11" t="s">
        <v>266</v>
      </c>
      <c r="E62" s="11" t="s">
        <v>11</v>
      </c>
      <c r="F62" s="19">
        <f>F63</f>
        <v>202610.24</v>
      </c>
      <c r="G62" s="19">
        <f>G63</f>
        <v>202610.24</v>
      </c>
      <c r="H62" s="41"/>
      <c r="I62" s="60"/>
    </row>
    <row r="63" spans="1:9" ht="56.25">
      <c r="A63" s="4" t="s">
        <v>268</v>
      </c>
      <c r="B63" s="11" t="s">
        <v>25</v>
      </c>
      <c r="C63" s="11" t="s">
        <v>72</v>
      </c>
      <c r="D63" s="11" t="s">
        <v>266</v>
      </c>
      <c r="E63" s="11" t="s">
        <v>267</v>
      </c>
      <c r="F63" s="19">
        <v>202610.24</v>
      </c>
      <c r="G63" s="19">
        <v>202610.24</v>
      </c>
      <c r="H63" s="41"/>
      <c r="I63" s="31"/>
    </row>
    <row r="64" spans="1:9" ht="24" customHeight="1">
      <c r="A64" s="6" t="s">
        <v>142</v>
      </c>
      <c r="B64" s="10" t="s">
        <v>25</v>
      </c>
      <c r="C64" s="10" t="s">
        <v>32</v>
      </c>
      <c r="D64" s="10" t="s">
        <v>33</v>
      </c>
      <c r="E64" s="10" t="s">
        <v>11</v>
      </c>
      <c r="F64" s="21">
        <f>F65+F67</f>
        <v>1404874.49</v>
      </c>
      <c r="G64" s="21">
        <f>G65+G67</f>
        <v>187658.31</v>
      </c>
      <c r="H64" s="40"/>
      <c r="I64" s="34"/>
    </row>
    <row r="65" spans="1:9" ht="22.5">
      <c r="A65" s="4" t="s">
        <v>143</v>
      </c>
      <c r="B65" s="11" t="s">
        <v>25</v>
      </c>
      <c r="C65" s="11" t="s">
        <v>32</v>
      </c>
      <c r="D65" s="11" t="s">
        <v>269</v>
      </c>
      <c r="E65" s="11" t="s">
        <v>11</v>
      </c>
      <c r="F65" s="19">
        <f>F66</f>
        <v>1204874.49</v>
      </c>
      <c r="G65" s="19">
        <f>G66</f>
        <v>187658.31</v>
      </c>
      <c r="H65" s="41"/>
      <c r="I65" s="31"/>
    </row>
    <row r="66" spans="1:9" ht="22.5">
      <c r="A66" s="4" t="s">
        <v>18</v>
      </c>
      <c r="B66" s="11" t="s">
        <v>25</v>
      </c>
      <c r="C66" s="11" t="s">
        <v>32</v>
      </c>
      <c r="D66" s="11" t="s">
        <v>269</v>
      </c>
      <c r="E66" s="11" t="s">
        <v>154</v>
      </c>
      <c r="F66" s="19">
        <v>1204874.49</v>
      </c>
      <c r="G66" s="19">
        <f>81610+106048.31</f>
        <v>187658.31</v>
      </c>
      <c r="H66" s="41"/>
      <c r="I66" s="31"/>
    </row>
    <row r="67" spans="1:9" ht="22.5">
      <c r="A67" s="4" t="s">
        <v>58</v>
      </c>
      <c r="B67" s="11" t="s">
        <v>25</v>
      </c>
      <c r="C67" s="11" t="s">
        <v>32</v>
      </c>
      <c r="D67" s="11" t="s">
        <v>141</v>
      </c>
      <c r="E67" s="11" t="s">
        <v>11</v>
      </c>
      <c r="F67" s="17">
        <f>F68</f>
        <v>200000</v>
      </c>
      <c r="G67" s="17">
        <f>G68</f>
        <v>0</v>
      </c>
      <c r="H67" s="41"/>
      <c r="I67" s="31"/>
    </row>
    <row r="68" spans="1:9" ht="22.5">
      <c r="A68" s="4" t="s">
        <v>18</v>
      </c>
      <c r="B68" s="11" t="s">
        <v>25</v>
      </c>
      <c r="C68" s="11" t="s">
        <v>32</v>
      </c>
      <c r="D68" s="11" t="s">
        <v>152</v>
      </c>
      <c r="E68" s="11" t="s">
        <v>154</v>
      </c>
      <c r="F68" s="17">
        <v>200000</v>
      </c>
      <c r="G68" s="17"/>
      <c r="H68" s="41"/>
      <c r="I68" s="31"/>
    </row>
    <row r="69" spans="1:9" s="16" customFormat="1" ht="13.5" customHeight="1">
      <c r="A69" s="7" t="s">
        <v>215</v>
      </c>
      <c r="B69" s="9" t="s">
        <v>27</v>
      </c>
      <c r="C69" s="9" t="s">
        <v>10</v>
      </c>
      <c r="D69" s="9" t="s">
        <v>33</v>
      </c>
      <c r="E69" s="9" t="s">
        <v>11</v>
      </c>
      <c r="F69" s="24">
        <f>F70+F77+F82+F89</f>
        <v>143576896.21</v>
      </c>
      <c r="G69" s="24">
        <f>G70+G77+G82+G89</f>
        <v>130838697.91</v>
      </c>
      <c r="H69" s="38"/>
      <c r="I69" s="39"/>
    </row>
    <row r="70" spans="1:9" ht="12.75">
      <c r="A70" s="6" t="s">
        <v>216</v>
      </c>
      <c r="B70" s="10" t="s">
        <v>27</v>
      </c>
      <c r="C70" s="10" t="s">
        <v>9</v>
      </c>
      <c r="D70" s="10" t="s">
        <v>8</v>
      </c>
      <c r="E70" s="10" t="s">
        <v>11</v>
      </c>
      <c r="F70" s="21">
        <f>F71+F73+F75</f>
        <v>58796607.95</v>
      </c>
      <c r="G70" s="21">
        <f>G71+G73+G75</f>
        <v>58796607.95</v>
      </c>
      <c r="H70" s="40"/>
      <c r="I70" s="34"/>
    </row>
    <row r="71" spans="1:9" ht="69" customHeight="1">
      <c r="A71" s="28" t="s">
        <v>383</v>
      </c>
      <c r="B71" s="15" t="s">
        <v>27</v>
      </c>
      <c r="C71" s="15" t="s">
        <v>9</v>
      </c>
      <c r="D71" s="15" t="s">
        <v>296</v>
      </c>
      <c r="E71" s="15" t="s">
        <v>11</v>
      </c>
      <c r="F71" s="27">
        <f>F72</f>
        <v>52853510.38</v>
      </c>
      <c r="G71" s="27">
        <f>G72</f>
        <v>52853510.38</v>
      </c>
      <c r="H71" s="32"/>
      <c r="I71" s="33"/>
    </row>
    <row r="72" spans="1:9" ht="12.75">
      <c r="A72" s="4" t="s">
        <v>56</v>
      </c>
      <c r="B72" s="15" t="s">
        <v>27</v>
      </c>
      <c r="C72" s="15" t="s">
        <v>9</v>
      </c>
      <c r="D72" s="15" t="s">
        <v>296</v>
      </c>
      <c r="E72" s="15" t="s">
        <v>57</v>
      </c>
      <c r="F72" s="27">
        <v>52853510.38</v>
      </c>
      <c r="G72" s="27">
        <f>22111240.37+30742270.01</f>
        <v>52853510.38</v>
      </c>
      <c r="H72" s="32"/>
      <c r="I72" s="33"/>
    </row>
    <row r="73" spans="1:9" ht="44.25" customHeight="1">
      <c r="A73" s="4" t="s">
        <v>291</v>
      </c>
      <c r="B73" s="15" t="s">
        <v>27</v>
      </c>
      <c r="C73" s="15" t="s">
        <v>9</v>
      </c>
      <c r="D73" s="15" t="s">
        <v>290</v>
      </c>
      <c r="E73" s="15" t="s">
        <v>11</v>
      </c>
      <c r="F73" s="27">
        <f>F74</f>
        <v>729097.57</v>
      </c>
      <c r="G73" s="27">
        <f>G74</f>
        <v>729097.5700000001</v>
      </c>
      <c r="H73" s="32"/>
      <c r="I73" s="33"/>
    </row>
    <row r="74" spans="1:9" ht="12.75">
      <c r="A74" s="4" t="s">
        <v>56</v>
      </c>
      <c r="B74" s="15" t="s">
        <v>27</v>
      </c>
      <c r="C74" s="15" t="s">
        <v>9</v>
      </c>
      <c r="D74" s="15" t="s">
        <v>290</v>
      </c>
      <c r="E74" s="15" t="s">
        <v>57</v>
      </c>
      <c r="F74" s="27">
        <v>729097.57</v>
      </c>
      <c r="G74" s="27">
        <f>377881.37+351216.2</f>
        <v>729097.5700000001</v>
      </c>
      <c r="H74" s="32"/>
      <c r="I74" s="33"/>
    </row>
    <row r="75" spans="1:9" s="14" customFormat="1" ht="45">
      <c r="A75" s="28" t="s">
        <v>291</v>
      </c>
      <c r="B75" s="51" t="s">
        <v>27</v>
      </c>
      <c r="C75" s="51" t="s">
        <v>9</v>
      </c>
      <c r="D75" s="15" t="s">
        <v>290</v>
      </c>
      <c r="E75" s="51" t="s">
        <v>11</v>
      </c>
      <c r="F75" s="19">
        <f>F76</f>
        <v>5214000</v>
      </c>
      <c r="G75" s="19">
        <f>G76</f>
        <v>5214000</v>
      </c>
      <c r="H75" s="41"/>
      <c r="I75" s="31"/>
    </row>
    <row r="76" spans="1:9" s="48" customFormat="1" ht="33.75">
      <c r="A76" s="28" t="s">
        <v>316</v>
      </c>
      <c r="B76" s="29" t="s">
        <v>27</v>
      </c>
      <c r="C76" s="29" t="s">
        <v>9</v>
      </c>
      <c r="D76" s="15" t="s">
        <v>290</v>
      </c>
      <c r="E76" s="51" t="s">
        <v>165</v>
      </c>
      <c r="F76" s="25">
        <v>5214000</v>
      </c>
      <c r="G76" s="25">
        <f>2180539+3033461</f>
        <v>5214000</v>
      </c>
      <c r="H76" s="46"/>
      <c r="I76" s="47"/>
    </row>
    <row r="77" spans="1:9" ht="12.75">
      <c r="A77" s="6" t="s">
        <v>222</v>
      </c>
      <c r="B77" s="10" t="s">
        <v>27</v>
      </c>
      <c r="C77" s="10" t="s">
        <v>13</v>
      </c>
      <c r="D77" s="10" t="s">
        <v>8</v>
      </c>
      <c r="E77" s="10" t="s">
        <v>11</v>
      </c>
      <c r="F77" s="21">
        <f>F80+F78</f>
        <v>10619114.58</v>
      </c>
      <c r="G77" s="21">
        <f>G80+G78</f>
        <v>767052.58</v>
      </c>
      <c r="H77" s="40"/>
      <c r="I77" s="34"/>
    </row>
    <row r="78" spans="1:9" s="75" customFormat="1" ht="22.5">
      <c r="A78" s="28" t="s">
        <v>434</v>
      </c>
      <c r="B78" s="71" t="s">
        <v>27</v>
      </c>
      <c r="C78" s="71" t="s">
        <v>13</v>
      </c>
      <c r="D78" s="71" t="s">
        <v>425</v>
      </c>
      <c r="E78" s="71" t="s">
        <v>11</v>
      </c>
      <c r="F78" s="72">
        <f>F79</f>
        <v>9852062</v>
      </c>
      <c r="G78" s="72">
        <f>G79</f>
        <v>0</v>
      </c>
      <c r="H78" s="73"/>
      <c r="I78" s="74"/>
    </row>
    <row r="79" spans="1:9" s="75" customFormat="1" ht="22.5">
      <c r="A79" s="28" t="s">
        <v>18</v>
      </c>
      <c r="B79" s="71" t="s">
        <v>27</v>
      </c>
      <c r="C79" s="71" t="s">
        <v>13</v>
      </c>
      <c r="D79" s="71" t="s">
        <v>425</v>
      </c>
      <c r="E79" s="51" t="s">
        <v>154</v>
      </c>
      <c r="F79" s="72">
        <v>9852062</v>
      </c>
      <c r="G79" s="72"/>
      <c r="H79" s="73"/>
      <c r="I79" s="74"/>
    </row>
    <row r="80" spans="1:9" ht="21.75" customHeight="1">
      <c r="A80" s="4" t="s">
        <v>223</v>
      </c>
      <c r="B80" s="11" t="s">
        <v>27</v>
      </c>
      <c r="C80" s="11" t="s">
        <v>13</v>
      </c>
      <c r="D80" s="11" t="s">
        <v>314</v>
      </c>
      <c r="E80" s="11" t="s">
        <v>11</v>
      </c>
      <c r="F80" s="19">
        <f>F81</f>
        <v>767052.58</v>
      </c>
      <c r="G80" s="19">
        <f>G81</f>
        <v>767052.58</v>
      </c>
      <c r="H80" s="41"/>
      <c r="I80" s="31"/>
    </row>
    <row r="81" spans="1:9" ht="21.75" customHeight="1">
      <c r="A81" s="4" t="s">
        <v>18</v>
      </c>
      <c r="B81" s="11" t="s">
        <v>201</v>
      </c>
      <c r="C81" s="11" t="s">
        <v>13</v>
      </c>
      <c r="D81" s="11" t="s">
        <v>314</v>
      </c>
      <c r="E81" s="11" t="s">
        <v>154</v>
      </c>
      <c r="F81" s="17">
        <v>767052.58</v>
      </c>
      <c r="G81" s="17">
        <f>660204.44+106848.14</f>
        <v>767052.58</v>
      </c>
      <c r="H81" s="41"/>
      <c r="I81" s="31"/>
    </row>
    <row r="82" spans="1:9" s="8" customFormat="1" ht="12.75">
      <c r="A82" s="6" t="s">
        <v>224</v>
      </c>
      <c r="B82" s="10" t="s">
        <v>27</v>
      </c>
      <c r="C82" s="10" t="s">
        <v>19</v>
      </c>
      <c r="D82" s="10" t="s">
        <v>8</v>
      </c>
      <c r="E82" s="10" t="s">
        <v>11</v>
      </c>
      <c r="F82" s="21">
        <f>F83+F85+F87</f>
        <v>3530443.79</v>
      </c>
      <c r="G82" s="21">
        <f>G83+G85+G87</f>
        <v>3506315.79</v>
      </c>
      <c r="H82" s="40"/>
      <c r="I82" s="34"/>
    </row>
    <row r="83" spans="1:9" s="8" customFormat="1" ht="22.5">
      <c r="A83" s="28" t="s">
        <v>293</v>
      </c>
      <c r="B83" s="15" t="s">
        <v>27</v>
      </c>
      <c r="C83" s="15" t="s">
        <v>19</v>
      </c>
      <c r="D83" s="15" t="s">
        <v>266</v>
      </c>
      <c r="E83" s="15" t="s">
        <v>11</v>
      </c>
      <c r="F83" s="27">
        <f>F84</f>
        <v>3145922</v>
      </c>
      <c r="G83" s="27">
        <f>G84</f>
        <v>3145922</v>
      </c>
      <c r="H83" s="32"/>
      <c r="I83" s="33"/>
    </row>
    <row r="84" spans="1:9" s="8" customFormat="1" ht="57" customHeight="1">
      <c r="A84" s="28" t="s">
        <v>268</v>
      </c>
      <c r="B84" s="15" t="s">
        <v>27</v>
      </c>
      <c r="C84" s="15" t="s">
        <v>19</v>
      </c>
      <c r="D84" s="15" t="s">
        <v>266</v>
      </c>
      <c r="E84" s="15" t="s">
        <v>267</v>
      </c>
      <c r="F84" s="27">
        <v>3145922</v>
      </c>
      <c r="G84" s="27">
        <v>3145922</v>
      </c>
      <c r="H84" s="32"/>
      <c r="I84" s="31"/>
    </row>
    <row r="85" spans="1:9" s="14" customFormat="1" ht="56.25">
      <c r="A85" s="28" t="s">
        <v>225</v>
      </c>
      <c r="B85" s="51" t="s">
        <v>27</v>
      </c>
      <c r="C85" s="51" t="s">
        <v>19</v>
      </c>
      <c r="D85" s="51" t="s">
        <v>426</v>
      </c>
      <c r="E85" s="51" t="s">
        <v>11</v>
      </c>
      <c r="F85" s="19">
        <f>F86</f>
        <v>221675.79</v>
      </c>
      <c r="G85" s="19">
        <f>G86</f>
        <v>221675.79</v>
      </c>
      <c r="H85" s="41"/>
      <c r="I85" s="31"/>
    </row>
    <row r="86" spans="1:9" s="14" customFormat="1" ht="22.5">
      <c r="A86" s="28" t="s">
        <v>18</v>
      </c>
      <c r="B86" s="51" t="s">
        <v>27</v>
      </c>
      <c r="C86" s="51" t="s">
        <v>19</v>
      </c>
      <c r="D86" s="51" t="s">
        <v>426</v>
      </c>
      <c r="E86" s="51" t="s">
        <v>154</v>
      </c>
      <c r="F86" s="19">
        <v>221675.79</v>
      </c>
      <c r="G86" s="19">
        <v>221675.79</v>
      </c>
      <c r="H86" s="41"/>
      <c r="I86" s="31"/>
    </row>
    <row r="87" spans="1:9" s="14" customFormat="1" ht="45">
      <c r="A87" s="28" t="s">
        <v>384</v>
      </c>
      <c r="B87" s="51" t="s">
        <v>27</v>
      </c>
      <c r="C87" s="51" t="s">
        <v>19</v>
      </c>
      <c r="D87" s="51" t="s">
        <v>339</v>
      </c>
      <c r="E87" s="51" t="s">
        <v>11</v>
      </c>
      <c r="F87" s="19">
        <f>F88</f>
        <v>162846</v>
      </c>
      <c r="G87" s="19">
        <f>G88</f>
        <v>138718</v>
      </c>
      <c r="H87" s="41"/>
      <c r="I87" s="31"/>
    </row>
    <row r="88" spans="1:9" s="14" customFormat="1" ht="22.5">
      <c r="A88" s="28" t="s">
        <v>18</v>
      </c>
      <c r="B88" s="51" t="s">
        <v>27</v>
      </c>
      <c r="C88" s="51" t="s">
        <v>19</v>
      </c>
      <c r="D88" s="51" t="s">
        <v>339</v>
      </c>
      <c r="E88" s="51" t="s">
        <v>154</v>
      </c>
      <c r="F88" s="19">
        <v>162846</v>
      </c>
      <c r="G88" s="19">
        <v>138718</v>
      </c>
      <c r="H88" s="41"/>
      <c r="I88" s="31"/>
    </row>
    <row r="89" spans="1:9" ht="23.25" customHeight="1">
      <c r="A89" s="6" t="s">
        <v>227</v>
      </c>
      <c r="B89" s="10" t="s">
        <v>27</v>
      </c>
      <c r="C89" s="10" t="s">
        <v>27</v>
      </c>
      <c r="D89" s="10" t="s">
        <v>144</v>
      </c>
      <c r="E89" s="10" t="s">
        <v>11</v>
      </c>
      <c r="F89" s="21">
        <f>F90+F92+F94+F96+F100+F102+F98</f>
        <v>70630729.89</v>
      </c>
      <c r="G89" s="21">
        <f>G90+G92+G94+G96+G100+G102+G98</f>
        <v>67768721.59</v>
      </c>
      <c r="H89" s="40"/>
      <c r="I89" s="34"/>
    </row>
    <row r="90" spans="1:9" ht="33.75" customHeight="1">
      <c r="A90" s="4" t="s">
        <v>228</v>
      </c>
      <c r="B90" s="11" t="s">
        <v>27</v>
      </c>
      <c r="C90" s="11" t="s">
        <v>27</v>
      </c>
      <c r="D90" s="11" t="s">
        <v>206</v>
      </c>
      <c r="E90" s="11" t="s">
        <v>11</v>
      </c>
      <c r="F90" s="17">
        <f>F91</f>
        <v>11065271.18</v>
      </c>
      <c r="G90" s="17">
        <f>G91</f>
        <v>11065270.18</v>
      </c>
      <c r="H90" s="41"/>
      <c r="I90" s="31"/>
    </row>
    <row r="91" spans="1:9" ht="12.75">
      <c r="A91" s="4" t="s">
        <v>219</v>
      </c>
      <c r="B91" s="11" t="s">
        <v>27</v>
      </c>
      <c r="C91" s="11" t="s">
        <v>27</v>
      </c>
      <c r="D91" s="11" t="s">
        <v>248</v>
      </c>
      <c r="E91" s="11" t="s">
        <v>203</v>
      </c>
      <c r="F91" s="17">
        <v>11065271.18</v>
      </c>
      <c r="G91" s="17">
        <f>419719.54+10645550.64</f>
        <v>11065270.18</v>
      </c>
      <c r="H91" s="41"/>
      <c r="I91" s="31"/>
    </row>
    <row r="92" spans="1:9" ht="24.75" customHeight="1">
      <c r="A92" s="4" t="s">
        <v>230</v>
      </c>
      <c r="B92" s="11" t="s">
        <v>27</v>
      </c>
      <c r="C92" s="11" t="s">
        <v>27</v>
      </c>
      <c r="D92" s="11" t="s">
        <v>229</v>
      </c>
      <c r="E92" s="11" t="s">
        <v>11</v>
      </c>
      <c r="F92" s="17">
        <f>F93</f>
        <v>2428199.3</v>
      </c>
      <c r="G92" s="17">
        <f>G93</f>
        <v>2428199.3</v>
      </c>
      <c r="H92" s="41"/>
      <c r="I92" s="31"/>
    </row>
    <row r="93" spans="1:9" ht="14.25" customHeight="1">
      <c r="A93" s="4" t="s">
        <v>219</v>
      </c>
      <c r="B93" s="11" t="s">
        <v>27</v>
      </c>
      <c r="C93" s="11" t="s">
        <v>27</v>
      </c>
      <c r="D93" s="11" t="s">
        <v>232</v>
      </c>
      <c r="E93" s="11" t="s">
        <v>203</v>
      </c>
      <c r="F93" s="17">
        <v>2428199.3</v>
      </c>
      <c r="G93" s="17">
        <v>2428199.3</v>
      </c>
      <c r="H93" s="41"/>
      <c r="I93" s="31"/>
    </row>
    <row r="94" spans="1:9" ht="59.25" customHeight="1">
      <c r="A94" s="4" t="s">
        <v>301</v>
      </c>
      <c r="B94" s="11" t="s">
        <v>27</v>
      </c>
      <c r="C94" s="11" t="s">
        <v>27</v>
      </c>
      <c r="D94" s="11" t="s">
        <v>300</v>
      </c>
      <c r="E94" s="11" t="s">
        <v>11</v>
      </c>
      <c r="F94" s="17">
        <f>F95</f>
        <v>37467512.6</v>
      </c>
      <c r="G94" s="17">
        <f>G95</f>
        <v>37467512.6</v>
      </c>
      <c r="H94" s="41"/>
      <c r="I94" s="31"/>
    </row>
    <row r="95" spans="1:9" ht="12" customHeight="1">
      <c r="A95" s="4" t="s">
        <v>219</v>
      </c>
      <c r="B95" s="11" t="s">
        <v>27</v>
      </c>
      <c r="C95" s="11" t="s">
        <v>27</v>
      </c>
      <c r="D95" s="11" t="s">
        <v>300</v>
      </c>
      <c r="E95" s="11" t="s">
        <v>203</v>
      </c>
      <c r="F95" s="17">
        <f>396348.9+831039+4096+66731.37+86060.54+89901+135955+2732+7504+1781006+65088+143622.3+1255327.82+560852.7+3436810.07+1741823.8+155007+1580229+1801697.3+202010+921118.12+35375.01+40229.56+1363417.2+1304815.2+2759707.1+818842.85+1307040.61+12616859.15+1407035.3+549230.7</f>
        <v>37467512.6</v>
      </c>
      <c r="G95" s="17">
        <f>396348.9+831039+4096+66731.37+86060.54+89901+135955+2732+7504+1781006+65088+143622.3+1255327.82+560852.7+3436810.07+1741823.8+155007+1580229+1801697.3+202010+921118.12+35375.01+40229.56+1363417.2+1304815.2+2759707.1+818842.85+1307040.61+12616859.15+1407035.3+549230.7</f>
        <v>37467512.6</v>
      </c>
      <c r="H95" s="41"/>
      <c r="I95" s="31"/>
    </row>
    <row r="96" spans="1:9" s="14" customFormat="1" ht="78.75">
      <c r="A96" s="28" t="s">
        <v>385</v>
      </c>
      <c r="B96" s="51" t="s">
        <v>27</v>
      </c>
      <c r="C96" s="51" t="s">
        <v>27</v>
      </c>
      <c r="D96" s="51" t="s">
        <v>340</v>
      </c>
      <c r="E96" s="51" t="s">
        <v>11</v>
      </c>
      <c r="F96" s="19">
        <f>F97</f>
        <v>5500000</v>
      </c>
      <c r="G96" s="19">
        <f>G97</f>
        <v>5470134.7</v>
      </c>
      <c r="H96" s="41"/>
      <c r="I96" s="31"/>
    </row>
    <row r="97" spans="1:9" s="14" customFormat="1" ht="12" customHeight="1">
      <c r="A97" s="28" t="s">
        <v>219</v>
      </c>
      <c r="B97" s="51" t="s">
        <v>27</v>
      </c>
      <c r="C97" s="51" t="s">
        <v>27</v>
      </c>
      <c r="D97" s="51" t="s">
        <v>340</v>
      </c>
      <c r="E97" s="51" t="s">
        <v>203</v>
      </c>
      <c r="F97" s="19">
        <v>5500000</v>
      </c>
      <c r="G97" s="19">
        <f>5470134.7</f>
        <v>5470134.7</v>
      </c>
      <c r="H97" s="41"/>
      <c r="I97" s="31"/>
    </row>
    <row r="98" spans="1:9" s="14" customFormat="1" ht="22.5">
      <c r="A98" s="28" t="s">
        <v>435</v>
      </c>
      <c r="B98" s="51" t="s">
        <v>27</v>
      </c>
      <c r="C98" s="51" t="s">
        <v>27</v>
      </c>
      <c r="D98" s="51" t="s">
        <v>427</v>
      </c>
      <c r="E98" s="51" t="s">
        <v>11</v>
      </c>
      <c r="F98" s="19">
        <f>F99</f>
        <v>1800000</v>
      </c>
      <c r="G98" s="19">
        <f>G99</f>
        <v>0</v>
      </c>
      <c r="H98" s="41"/>
      <c r="I98" s="31"/>
    </row>
    <row r="99" spans="1:9" s="14" customFormat="1" ht="12" customHeight="1">
      <c r="A99" s="28" t="s">
        <v>219</v>
      </c>
      <c r="B99" s="51" t="s">
        <v>27</v>
      </c>
      <c r="C99" s="51" t="s">
        <v>27</v>
      </c>
      <c r="D99" s="51" t="s">
        <v>427</v>
      </c>
      <c r="E99" s="51" t="s">
        <v>203</v>
      </c>
      <c r="F99" s="19">
        <v>1800000</v>
      </c>
      <c r="G99" s="19"/>
      <c r="H99" s="41"/>
      <c r="I99" s="31"/>
    </row>
    <row r="100" spans="1:9" ht="45.75" customHeight="1">
      <c r="A100" s="4" t="s">
        <v>233</v>
      </c>
      <c r="B100" s="11" t="s">
        <v>27</v>
      </c>
      <c r="C100" s="11" t="s">
        <v>27</v>
      </c>
      <c r="D100" s="11" t="s">
        <v>309</v>
      </c>
      <c r="E100" s="11" t="s">
        <v>11</v>
      </c>
      <c r="F100" s="17">
        <f>F101</f>
        <v>12158754.440000001</v>
      </c>
      <c r="G100" s="17">
        <f>G101</f>
        <v>11126612.440000001</v>
      </c>
      <c r="H100" s="41"/>
      <c r="I100" s="31"/>
    </row>
    <row r="101" spans="1:9" ht="12.75">
      <c r="A101" s="4" t="s">
        <v>219</v>
      </c>
      <c r="B101" s="11" t="s">
        <v>27</v>
      </c>
      <c r="C101" s="11" t="s">
        <v>27</v>
      </c>
      <c r="D101" s="11" t="s">
        <v>309</v>
      </c>
      <c r="E101" s="11" t="s">
        <v>203</v>
      </c>
      <c r="F101" s="17">
        <f>200682.14+148564.3+4179660+7185340+444508</f>
        <v>12158754.440000001</v>
      </c>
      <c r="G101" s="17">
        <f>200682.14+148564.3+4158858+6174000+444508</f>
        <v>11126612.440000001</v>
      </c>
      <c r="H101" s="41"/>
      <c r="I101" s="31"/>
    </row>
    <row r="102" spans="1:9" ht="23.25" customHeight="1">
      <c r="A102" s="4" t="s">
        <v>221</v>
      </c>
      <c r="B102" s="11" t="s">
        <v>27</v>
      </c>
      <c r="C102" s="11" t="s">
        <v>27</v>
      </c>
      <c r="D102" s="11" t="s">
        <v>141</v>
      </c>
      <c r="E102" s="11" t="s">
        <v>11</v>
      </c>
      <c r="F102" s="17">
        <f>F103</f>
        <v>210992.37</v>
      </c>
      <c r="G102" s="17">
        <f>G103</f>
        <v>210992.37</v>
      </c>
      <c r="H102" s="41"/>
      <c r="I102" s="31"/>
    </row>
    <row r="103" spans="1:9" ht="12.75" customHeight="1">
      <c r="A103" s="4" t="s">
        <v>219</v>
      </c>
      <c r="B103" s="11" t="s">
        <v>27</v>
      </c>
      <c r="C103" s="11" t="s">
        <v>27</v>
      </c>
      <c r="D103" s="11" t="s">
        <v>152</v>
      </c>
      <c r="E103" s="11" t="s">
        <v>203</v>
      </c>
      <c r="F103" s="17">
        <v>210992.37</v>
      </c>
      <c r="G103" s="17">
        <v>210992.37</v>
      </c>
      <c r="H103" s="41"/>
      <c r="I103" s="31"/>
    </row>
    <row r="104" spans="1:9" ht="12.75">
      <c r="A104" s="7" t="s">
        <v>59</v>
      </c>
      <c r="B104" s="9" t="s">
        <v>31</v>
      </c>
      <c r="C104" s="9" t="s">
        <v>10</v>
      </c>
      <c r="D104" s="9" t="s">
        <v>8</v>
      </c>
      <c r="E104" s="9" t="s">
        <v>11</v>
      </c>
      <c r="F104" s="24">
        <f>F105</f>
        <v>78515096.62</v>
      </c>
      <c r="G104" s="24">
        <f>G105</f>
        <v>65470796.62</v>
      </c>
      <c r="H104" s="38"/>
      <c r="I104" s="39"/>
    </row>
    <row r="105" spans="1:9" ht="22.5" customHeight="1">
      <c r="A105" s="6" t="s">
        <v>294</v>
      </c>
      <c r="B105" s="10" t="s">
        <v>31</v>
      </c>
      <c r="C105" s="10" t="s">
        <v>27</v>
      </c>
      <c r="D105" s="10" t="s">
        <v>8</v>
      </c>
      <c r="E105" s="10" t="s">
        <v>11</v>
      </c>
      <c r="F105" s="21">
        <f>F106+F108+F110+F112</f>
        <v>78515096.62</v>
      </c>
      <c r="G105" s="21">
        <f>G106+G108+G110+G112</f>
        <v>65470796.62</v>
      </c>
      <c r="H105" s="40"/>
      <c r="I105" s="34"/>
    </row>
    <row r="106" spans="1:9" ht="22.5">
      <c r="A106" s="4" t="s">
        <v>386</v>
      </c>
      <c r="B106" s="13" t="s">
        <v>31</v>
      </c>
      <c r="C106" s="13" t="s">
        <v>27</v>
      </c>
      <c r="D106" s="13" t="s">
        <v>256</v>
      </c>
      <c r="E106" s="13" t="s">
        <v>11</v>
      </c>
      <c r="F106" s="27">
        <f>F107</f>
        <v>900000</v>
      </c>
      <c r="G106" s="27">
        <f>G107</f>
        <v>0</v>
      </c>
      <c r="H106" s="32"/>
      <c r="I106" s="33"/>
    </row>
    <row r="107" spans="1:9" ht="22.5">
      <c r="A107" s="4" t="s">
        <v>18</v>
      </c>
      <c r="B107" s="13" t="s">
        <v>31</v>
      </c>
      <c r="C107" s="13" t="s">
        <v>27</v>
      </c>
      <c r="D107" s="13" t="s">
        <v>256</v>
      </c>
      <c r="E107" s="13" t="s">
        <v>154</v>
      </c>
      <c r="F107" s="27">
        <v>900000</v>
      </c>
      <c r="G107" s="27"/>
      <c r="H107" s="32"/>
      <c r="I107" s="33"/>
    </row>
    <row r="108" spans="1:9" ht="12.75">
      <c r="A108" s="4" t="s">
        <v>218</v>
      </c>
      <c r="B108" s="11" t="s">
        <v>31</v>
      </c>
      <c r="C108" s="11" t="s">
        <v>27</v>
      </c>
      <c r="D108" s="11" t="s">
        <v>253</v>
      </c>
      <c r="E108" s="11" t="s">
        <v>11</v>
      </c>
      <c r="F108" s="17">
        <f>F109</f>
        <v>141190.5</v>
      </c>
      <c r="G108" s="17">
        <f>G109</f>
        <v>141190.5</v>
      </c>
      <c r="H108" s="41"/>
      <c r="I108" s="31"/>
    </row>
    <row r="109" spans="1:9" ht="12.75">
      <c r="A109" s="4" t="s">
        <v>219</v>
      </c>
      <c r="B109" s="11" t="s">
        <v>31</v>
      </c>
      <c r="C109" s="11" t="s">
        <v>27</v>
      </c>
      <c r="D109" s="11" t="s">
        <v>253</v>
      </c>
      <c r="E109" s="11" t="s">
        <v>203</v>
      </c>
      <c r="F109" s="17">
        <v>141190.5</v>
      </c>
      <c r="G109" s="17">
        <v>141190.5</v>
      </c>
      <c r="H109" s="41"/>
      <c r="I109" s="31"/>
    </row>
    <row r="110" spans="1:9" s="14" customFormat="1" ht="43.5" customHeight="1">
      <c r="A110" s="28" t="s">
        <v>387</v>
      </c>
      <c r="B110" s="51" t="s">
        <v>31</v>
      </c>
      <c r="C110" s="51" t="s">
        <v>27</v>
      </c>
      <c r="D110" s="51" t="s">
        <v>270</v>
      </c>
      <c r="E110" s="51" t="s">
        <v>11</v>
      </c>
      <c r="F110" s="19">
        <f>F111</f>
        <v>77444300</v>
      </c>
      <c r="G110" s="19">
        <f>G111</f>
        <v>65300000</v>
      </c>
      <c r="H110" s="41"/>
      <c r="I110" s="31"/>
    </row>
    <row r="111" spans="1:9" s="14" customFormat="1" ht="12.75">
      <c r="A111" s="28" t="s">
        <v>219</v>
      </c>
      <c r="B111" s="51" t="s">
        <v>31</v>
      </c>
      <c r="C111" s="51" t="s">
        <v>27</v>
      </c>
      <c r="D111" s="51" t="s">
        <v>270</v>
      </c>
      <c r="E111" s="51" t="s">
        <v>203</v>
      </c>
      <c r="F111" s="19">
        <v>77444300</v>
      </c>
      <c r="G111" s="19">
        <v>65300000</v>
      </c>
      <c r="H111" s="41"/>
      <c r="I111" s="31"/>
    </row>
    <row r="112" spans="1:9" s="14" customFormat="1" ht="22.5">
      <c r="A112" s="28" t="s">
        <v>221</v>
      </c>
      <c r="B112" s="51" t="s">
        <v>31</v>
      </c>
      <c r="C112" s="51" t="s">
        <v>27</v>
      </c>
      <c r="D112" s="51" t="s">
        <v>51</v>
      </c>
      <c r="E112" s="51" t="s">
        <v>11</v>
      </c>
      <c r="F112" s="19">
        <f>F113</f>
        <v>29606.12</v>
      </c>
      <c r="G112" s="19">
        <f>G113</f>
        <v>29606.12</v>
      </c>
      <c r="H112" s="41"/>
      <c r="I112" s="31"/>
    </row>
    <row r="113" spans="1:9" s="14" customFormat="1" ht="12.75">
      <c r="A113" s="28" t="s">
        <v>219</v>
      </c>
      <c r="B113" s="51" t="s">
        <v>31</v>
      </c>
      <c r="C113" s="51" t="s">
        <v>27</v>
      </c>
      <c r="D113" s="51" t="s">
        <v>51</v>
      </c>
      <c r="E113" s="51" t="s">
        <v>203</v>
      </c>
      <c r="F113" s="19">
        <v>29606.12</v>
      </c>
      <c r="G113" s="19">
        <f>9866+19740.12</f>
        <v>29606.12</v>
      </c>
      <c r="H113" s="41"/>
      <c r="I113" s="31"/>
    </row>
    <row r="114" spans="1:9" s="14" customFormat="1" ht="12.75">
      <c r="A114" s="61" t="s">
        <v>60</v>
      </c>
      <c r="B114" s="62" t="s">
        <v>61</v>
      </c>
      <c r="C114" s="62" t="s">
        <v>10</v>
      </c>
      <c r="D114" s="62" t="s">
        <v>8</v>
      </c>
      <c r="E114" s="62" t="s">
        <v>11</v>
      </c>
      <c r="F114" s="70">
        <f>F115+F130+F155</f>
        <v>355072470.83000004</v>
      </c>
      <c r="G114" s="70">
        <f>G115+G130+G155</f>
        <v>224281727.53</v>
      </c>
      <c r="H114" s="38"/>
      <c r="I114" s="39"/>
    </row>
    <row r="115" spans="1:9" s="14" customFormat="1" ht="12.75">
      <c r="A115" s="56" t="s">
        <v>62</v>
      </c>
      <c r="B115" s="57" t="s">
        <v>63</v>
      </c>
      <c r="C115" s="57" t="s">
        <v>9</v>
      </c>
      <c r="D115" s="57" t="s">
        <v>8</v>
      </c>
      <c r="E115" s="57" t="s">
        <v>11</v>
      </c>
      <c r="F115" s="58">
        <f>F116+F118+F120+F122+F124+F126+F128</f>
        <v>92919211.94000001</v>
      </c>
      <c r="G115" s="58">
        <f>G116+G118+G120+G122+G124+G126+G128</f>
        <v>55579299.1</v>
      </c>
      <c r="H115" s="40"/>
      <c r="I115" s="34"/>
    </row>
    <row r="116" spans="1:9" s="14" customFormat="1" ht="22.5">
      <c r="A116" s="28" t="s">
        <v>64</v>
      </c>
      <c r="B116" s="51" t="s">
        <v>63</v>
      </c>
      <c r="C116" s="51" t="s">
        <v>9</v>
      </c>
      <c r="D116" s="51" t="s">
        <v>65</v>
      </c>
      <c r="E116" s="51" t="s">
        <v>11</v>
      </c>
      <c r="F116" s="19">
        <f>F117</f>
        <v>75509053.4</v>
      </c>
      <c r="G116" s="19">
        <f>G117</f>
        <v>44208412.28</v>
      </c>
      <c r="H116" s="41"/>
      <c r="I116" s="31"/>
    </row>
    <row r="117" spans="1:9" s="14" customFormat="1" ht="22.5">
      <c r="A117" s="28" t="s">
        <v>38</v>
      </c>
      <c r="B117" s="51" t="s">
        <v>63</v>
      </c>
      <c r="C117" s="51" t="s">
        <v>9</v>
      </c>
      <c r="D117" s="51" t="s">
        <v>65</v>
      </c>
      <c r="E117" s="51" t="s">
        <v>39</v>
      </c>
      <c r="F117" s="19">
        <v>75509053.4</v>
      </c>
      <c r="G117" s="19">
        <f>25485207.58+150576.4+6876202.87+72406.82+6508+2088566.08+2550307.29+166475.4+13347.12+1056442.24+5742372.48</f>
        <v>44208412.28</v>
      </c>
      <c r="H117" s="41"/>
      <c r="I117" s="31"/>
    </row>
    <row r="118" spans="1:9" s="14" customFormat="1" ht="22.5">
      <c r="A118" s="28" t="s">
        <v>64</v>
      </c>
      <c r="B118" s="51" t="s">
        <v>63</v>
      </c>
      <c r="C118" s="51" t="s">
        <v>9</v>
      </c>
      <c r="D118" s="51" t="s">
        <v>65</v>
      </c>
      <c r="E118" s="51" t="s">
        <v>11</v>
      </c>
      <c r="F118" s="19">
        <f>F119</f>
        <v>75240.93</v>
      </c>
      <c r="G118" s="19">
        <f>G119</f>
        <v>75240.93</v>
      </c>
      <c r="H118" s="41"/>
      <c r="I118" s="31"/>
    </row>
    <row r="119" spans="1:9" s="14" customFormat="1" ht="33.75">
      <c r="A119" s="28" t="s">
        <v>388</v>
      </c>
      <c r="B119" s="51" t="s">
        <v>63</v>
      </c>
      <c r="C119" s="51" t="s">
        <v>9</v>
      </c>
      <c r="D119" s="51" t="s">
        <v>65</v>
      </c>
      <c r="E119" s="51" t="s">
        <v>134</v>
      </c>
      <c r="F119" s="19">
        <v>75240.93</v>
      </c>
      <c r="G119" s="19">
        <v>75240.93</v>
      </c>
      <c r="H119" s="41"/>
      <c r="I119" s="31"/>
    </row>
    <row r="120" spans="1:9" s="14" customFormat="1" ht="33.75">
      <c r="A120" s="28" t="s">
        <v>389</v>
      </c>
      <c r="B120" s="51" t="s">
        <v>63</v>
      </c>
      <c r="C120" s="51" t="s">
        <v>9</v>
      </c>
      <c r="D120" s="51" t="s">
        <v>341</v>
      </c>
      <c r="E120" s="51" t="s">
        <v>11</v>
      </c>
      <c r="F120" s="19">
        <f>F121</f>
        <v>4790000</v>
      </c>
      <c r="G120" s="19">
        <f>G121</f>
        <v>4700436.23</v>
      </c>
      <c r="H120" s="41"/>
      <c r="I120" s="31"/>
    </row>
    <row r="121" spans="1:9" s="14" customFormat="1" ht="22.5">
      <c r="A121" s="28" t="s">
        <v>38</v>
      </c>
      <c r="B121" s="51" t="s">
        <v>63</v>
      </c>
      <c r="C121" s="51" t="s">
        <v>9</v>
      </c>
      <c r="D121" s="51" t="s">
        <v>341</v>
      </c>
      <c r="E121" s="51" t="s">
        <v>39</v>
      </c>
      <c r="F121" s="19">
        <v>4790000</v>
      </c>
      <c r="G121" s="19">
        <v>4700436.23</v>
      </c>
      <c r="H121" s="41"/>
      <c r="I121" s="31"/>
    </row>
    <row r="122" spans="1:9" s="14" customFormat="1" ht="45">
      <c r="A122" s="28" t="s">
        <v>390</v>
      </c>
      <c r="B122" s="51" t="s">
        <v>63</v>
      </c>
      <c r="C122" s="51" t="s">
        <v>9</v>
      </c>
      <c r="D122" s="51" t="s">
        <v>342</v>
      </c>
      <c r="E122" s="51" t="s">
        <v>11</v>
      </c>
      <c r="F122" s="19">
        <f>F123</f>
        <v>514400</v>
      </c>
      <c r="G122" s="19">
        <f>G123</f>
        <v>57262.63</v>
      </c>
      <c r="H122" s="41"/>
      <c r="I122" s="31"/>
    </row>
    <row r="123" spans="1:9" s="14" customFormat="1" ht="22.5">
      <c r="A123" s="28" t="s">
        <v>38</v>
      </c>
      <c r="B123" s="51" t="s">
        <v>63</v>
      </c>
      <c r="C123" s="51" t="s">
        <v>9</v>
      </c>
      <c r="D123" s="51" t="s">
        <v>342</v>
      </c>
      <c r="E123" s="51" t="s">
        <v>39</v>
      </c>
      <c r="F123" s="19">
        <v>514400</v>
      </c>
      <c r="G123" s="19">
        <v>57262.63</v>
      </c>
      <c r="H123" s="41"/>
      <c r="I123" s="31"/>
    </row>
    <row r="124" spans="1:9" s="14" customFormat="1" ht="45">
      <c r="A124" s="28" t="s">
        <v>390</v>
      </c>
      <c r="B124" s="51" t="s">
        <v>63</v>
      </c>
      <c r="C124" s="51" t="s">
        <v>9</v>
      </c>
      <c r="D124" s="51" t="s">
        <v>342</v>
      </c>
      <c r="E124" s="51" t="s">
        <v>11</v>
      </c>
      <c r="F124" s="19">
        <f>F125</f>
        <v>2302657.54</v>
      </c>
      <c r="G124" s="19">
        <f>G125</f>
        <v>789427.15</v>
      </c>
      <c r="H124" s="41"/>
      <c r="I124" s="31"/>
    </row>
    <row r="125" spans="1:9" s="14" customFormat="1" ht="22.5">
      <c r="A125" s="28" t="s">
        <v>18</v>
      </c>
      <c r="B125" s="51" t="s">
        <v>63</v>
      </c>
      <c r="C125" s="51" t="s">
        <v>9</v>
      </c>
      <c r="D125" s="51" t="s">
        <v>342</v>
      </c>
      <c r="E125" s="51" t="s">
        <v>154</v>
      </c>
      <c r="F125" s="19">
        <v>2302657.54</v>
      </c>
      <c r="G125" s="19">
        <f>789427.15</f>
        <v>789427.15</v>
      </c>
      <c r="H125" s="41"/>
      <c r="I125" s="31"/>
    </row>
    <row r="126" spans="1:9" s="14" customFormat="1" ht="90">
      <c r="A126" s="28" t="s">
        <v>391</v>
      </c>
      <c r="B126" s="51" t="s">
        <v>63</v>
      </c>
      <c r="C126" s="51" t="s">
        <v>9</v>
      </c>
      <c r="D126" s="51" t="s">
        <v>343</v>
      </c>
      <c r="E126" s="51" t="s">
        <v>11</v>
      </c>
      <c r="F126" s="19">
        <f>F127</f>
        <v>4417628.86</v>
      </c>
      <c r="G126" s="19">
        <f>G127</f>
        <v>2770403.95</v>
      </c>
      <c r="H126" s="41"/>
      <c r="I126" s="31"/>
    </row>
    <row r="127" spans="1:9" s="14" customFormat="1" ht="22.5">
      <c r="A127" s="28" t="s">
        <v>38</v>
      </c>
      <c r="B127" s="51" t="s">
        <v>63</v>
      </c>
      <c r="C127" s="51" t="s">
        <v>9</v>
      </c>
      <c r="D127" s="51" t="s">
        <v>343</v>
      </c>
      <c r="E127" s="51" t="s">
        <v>39</v>
      </c>
      <c r="F127" s="19">
        <v>4417628.86</v>
      </c>
      <c r="G127" s="19">
        <v>2770403.95</v>
      </c>
      <c r="H127" s="41"/>
      <c r="I127" s="31"/>
    </row>
    <row r="128" spans="1:9" s="14" customFormat="1" ht="24.75" customHeight="1">
      <c r="A128" s="28" t="s">
        <v>236</v>
      </c>
      <c r="B128" s="51" t="s">
        <v>63</v>
      </c>
      <c r="C128" s="51" t="s">
        <v>9</v>
      </c>
      <c r="D128" s="51" t="s">
        <v>254</v>
      </c>
      <c r="E128" s="51" t="s">
        <v>11</v>
      </c>
      <c r="F128" s="19">
        <f>F129</f>
        <v>5310231.21</v>
      </c>
      <c r="G128" s="19">
        <f>G129</f>
        <v>2978115.93</v>
      </c>
      <c r="H128" s="41"/>
      <c r="I128" s="31"/>
    </row>
    <row r="129" spans="1:9" s="14" customFormat="1" ht="22.5">
      <c r="A129" s="28" t="s">
        <v>38</v>
      </c>
      <c r="B129" s="51" t="s">
        <v>63</v>
      </c>
      <c r="C129" s="51" t="s">
        <v>9</v>
      </c>
      <c r="D129" s="51" t="s">
        <v>254</v>
      </c>
      <c r="E129" s="51" t="s">
        <v>39</v>
      </c>
      <c r="F129" s="19">
        <v>5310231.21</v>
      </c>
      <c r="G129" s="19">
        <f>2070128.81+907987.12</f>
        <v>2978115.93</v>
      </c>
      <c r="H129" s="41"/>
      <c r="I129" s="31"/>
    </row>
    <row r="130" spans="1:9" ht="12.75">
      <c r="A130" s="6" t="s">
        <v>66</v>
      </c>
      <c r="B130" s="10" t="s">
        <v>63</v>
      </c>
      <c r="C130" s="10" t="s">
        <v>13</v>
      </c>
      <c r="D130" s="10" t="s">
        <v>8</v>
      </c>
      <c r="E130" s="10" t="s">
        <v>11</v>
      </c>
      <c r="F130" s="21">
        <f>F131+F133+F135+F137+F139+F141+F143+F145+F147+F151+F153+F149</f>
        <v>246839443.78</v>
      </c>
      <c r="G130" s="21">
        <f>G131+G133+G135+G137+G139+G141+G143+G145+G147+G151+G153</f>
        <v>158447894.81</v>
      </c>
      <c r="H130" s="41"/>
      <c r="I130" s="31"/>
    </row>
    <row r="131" spans="1:9" ht="22.5">
      <c r="A131" s="4" t="s">
        <v>64</v>
      </c>
      <c r="B131" s="11" t="s">
        <v>63</v>
      </c>
      <c r="C131" s="11" t="s">
        <v>13</v>
      </c>
      <c r="D131" s="11" t="s">
        <v>67</v>
      </c>
      <c r="E131" s="11" t="s">
        <v>11</v>
      </c>
      <c r="F131" s="17">
        <f>F132</f>
        <v>30601154.37</v>
      </c>
      <c r="G131" s="17">
        <f>G132</f>
        <v>21890290.44</v>
      </c>
      <c r="H131" s="41"/>
      <c r="I131" s="31"/>
    </row>
    <row r="132" spans="1:9" ht="22.5">
      <c r="A132" s="28" t="s">
        <v>38</v>
      </c>
      <c r="B132" s="11" t="s">
        <v>63</v>
      </c>
      <c r="C132" s="11" t="s">
        <v>13</v>
      </c>
      <c r="D132" s="11" t="s">
        <v>67</v>
      </c>
      <c r="E132" s="11" t="s">
        <v>39</v>
      </c>
      <c r="F132" s="19">
        <v>30601154.37</v>
      </c>
      <c r="G132" s="19">
        <f>683893.79+17298+565985.13+700+148288+246980.47+1106467+5570221.34+18398.25+6556672.45+693101.3+724426.21+265286.49+5292572.01</f>
        <v>21890290.44</v>
      </c>
      <c r="H132" s="41"/>
      <c r="I132" s="31"/>
    </row>
    <row r="133" spans="1:9" s="14" customFormat="1" ht="56.25">
      <c r="A133" s="28" t="s">
        <v>170</v>
      </c>
      <c r="B133" s="51" t="s">
        <v>63</v>
      </c>
      <c r="C133" s="51" t="s">
        <v>13</v>
      </c>
      <c r="D133" s="51" t="s">
        <v>344</v>
      </c>
      <c r="E133" s="51" t="s">
        <v>11</v>
      </c>
      <c r="F133" s="19">
        <f>F134</f>
        <v>5196316.88</v>
      </c>
      <c r="G133" s="19">
        <f>G134</f>
        <v>3064196.82</v>
      </c>
      <c r="H133" s="41"/>
      <c r="I133" s="31"/>
    </row>
    <row r="134" spans="1:9" s="14" customFormat="1" ht="25.5" customHeight="1">
      <c r="A134" s="28" t="s">
        <v>38</v>
      </c>
      <c r="B134" s="51" t="s">
        <v>63</v>
      </c>
      <c r="C134" s="51" t="s">
        <v>167</v>
      </c>
      <c r="D134" s="51" t="s">
        <v>344</v>
      </c>
      <c r="E134" s="51" t="s">
        <v>39</v>
      </c>
      <c r="F134" s="19">
        <v>5196316.88</v>
      </c>
      <c r="G134" s="19">
        <v>3064196.82</v>
      </c>
      <c r="H134" s="41"/>
      <c r="I134" s="31"/>
    </row>
    <row r="135" spans="1:9" s="14" customFormat="1" ht="90">
      <c r="A135" s="28" t="s">
        <v>391</v>
      </c>
      <c r="B135" s="51" t="s">
        <v>63</v>
      </c>
      <c r="C135" s="51" t="s">
        <v>13</v>
      </c>
      <c r="D135" s="51" t="s">
        <v>345</v>
      </c>
      <c r="E135" s="51" t="s">
        <v>11</v>
      </c>
      <c r="F135" s="19">
        <f>F136</f>
        <v>11462491.76</v>
      </c>
      <c r="G135" s="19">
        <f>G136</f>
        <v>6858142.6</v>
      </c>
      <c r="H135" s="41"/>
      <c r="I135" s="31"/>
    </row>
    <row r="136" spans="1:9" s="14" customFormat="1" ht="24.75" customHeight="1">
      <c r="A136" s="28" t="s">
        <v>38</v>
      </c>
      <c r="B136" s="51" t="s">
        <v>63</v>
      </c>
      <c r="C136" s="51" t="s">
        <v>13</v>
      </c>
      <c r="D136" s="51" t="s">
        <v>345</v>
      </c>
      <c r="E136" s="51" t="s">
        <v>39</v>
      </c>
      <c r="F136" s="19">
        <v>11462491.76</v>
      </c>
      <c r="G136" s="19">
        <v>6858142.6</v>
      </c>
      <c r="H136" s="41"/>
      <c r="I136" s="31"/>
    </row>
    <row r="137" spans="1:9" s="14" customFormat="1" ht="45">
      <c r="A137" s="28" t="s">
        <v>392</v>
      </c>
      <c r="B137" s="51" t="s">
        <v>63</v>
      </c>
      <c r="C137" s="51" t="s">
        <v>13</v>
      </c>
      <c r="D137" s="51" t="s">
        <v>346</v>
      </c>
      <c r="E137" s="51" t="s">
        <v>11</v>
      </c>
      <c r="F137" s="19">
        <f>F138</f>
        <v>364746.12</v>
      </c>
      <c r="G137" s="19">
        <f>G138</f>
        <v>188308.67</v>
      </c>
      <c r="H137" s="41"/>
      <c r="I137" s="31"/>
    </row>
    <row r="138" spans="1:9" s="14" customFormat="1" ht="23.25" customHeight="1">
      <c r="A138" s="28" t="s">
        <v>38</v>
      </c>
      <c r="B138" s="51" t="s">
        <v>63</v>
      </c>
      <c r="C138" s="51" t="s">
        <v>13</v>
      </c>
      <c r="D138" s="51" t="s">
        <v>346</v>
      </c>
      <c r="E138" s="51" t="s">
        <v>39</v>
      </c>
      <c r="F138" s="19">
        <v>364746.12</v>
      </c>
      <c r="G138" s="19">
        <f>115345.57+37014.26+33657.84+2291</f>
        <v>188308.67</v>
      </c>
      <c r="H138" s="41"/>
      <c r="I138" s="31"/>
    </row>
    <row r="139" spans="1:9" s="14" customFormat="1" ht="78.75">
      <c r="A139" s="28" t="s">
        <v>393</v>
      </c>
      <c r="B139" s="51" t="s">
        <v>61</v>
      </c>
      <c r="C139" s="51" t="s">
        <v>13</v>
      </c>
      <c r="D139" s="51" t="s">
        <v>347</v>
      </c>
      <c r="E139" s="51" t="s">
        <v>11</v>
      </c>
      <c r="F139" s="19">
        <f>F140</f>
        <v>133854154.59</v>
      </c>
      <c r="G139" s="19">
        <f>G140</f>
        <v>84694804.91</v>
      </c>
      <c r="H139" s="41"/>
      <c r="I139" s="31"/>
    </row>
    <row r="140" spans="1:9" s="14" customFormat="1" ht="22.5">
      <c r="A140" s="28" t="s">
        <v>38</v>
      </c>
      <c r="B140" s="51" t="s">
        <v>63</v>
      </c>
      <c r="C140" s="51" t="s">
        <v>13</v>
      </c>
      <c r="D140" s="51" t="s">
        <v>347</v>
      </c>
      <c r="E140" s="51" t="s">
        <v>39</v>
      </c>
      <c r="F140" s="19">
        <v>133854154.59</v>
      </c>
      <c r="G140" s="19">
        <f>65878905.52+460892.81+13436273.49+153091.74+52360+713281.35+4000000</f>
        <v>84694804.91</v>
      </c>
      <c r="H140" s="41"/>
      <c r="I140" s="31"/>
    </row>
    <row r="141" spans="1:9" s="14" customFormat="1" ht="45">
      <c r="A141" s="28" t="s">
        <v>392</v>
      </c>
      <c r="B141" s="51" t="s">
        <v>63</v>
      </c>
      <c r="C141" s="51" t="s">
        <v>13</v>
      </c>
      <c r="D141" s="51" t="s">
        <v>348</v>
      </c>
      <c r="E141" s="51" t="s">
        <v>273</v>
      </c>
      <c r="F141" s="19">
        <f>F142</f>
        <v>23700</v>
      </c>
      <c r="G141" s="19">
        <f>G142</f>
        <v>12901.84</v>
      </c>
      <c r="H141" s="41"/>
      <c r="I141" s="31"/>
    </row>
    <row r="142" spans="1:9" s="14" customFormat="1" ht="22.5">
      <c r="A142" s="28" t="s">
        <v>38</v>
      </c>
      <c r="B142" s="51" t="s">
        <v>63</v>
      </c>
      <c r="C142" s="51" t="s">
        <v>13</v>
      </c>
      <c r="D142" s="51" t="s">
        <v>348</v>
      </c>
      <c r="E142" s="51" t="s">
        <v>39</v>
      </c>
      <c r="F142" s="19">
        <v>23700</v>
      </c>
      <c r="G142" s="19">
        <f>9527.84+3374</f>
        <v>12901.84</v>
      </c>
      <c r="H142" s="41"/>
      <c r="I142" s="31"/>
    </row>
    <row r="143" spans="1:9" s="14" customFormat="1" ht="72.75" customHeight="1">
      <c r="A143" s="28" t="s">
        <v>394</v>
      </c>
      <c r="B143" s="51" t="s">
        <v>63</v>
      </c>
      <c r="C143" s="51" t="s">
        <v>13</v>
      </c>
      <c r="D143" s="51" t="s">
        <v>349</v>
      </c>
      <c r="E143" s="51" t="s">
        <v>11</v>
      </c>
      <c r="F143" s="19">
        <f>F144</f>
        <v>35619967.43</v>
      </c>
      <c r="G143" s="19">
        <f>G144</f>
        <v>26366123</v>
      </c>
      <c r="H143" s="41"/>
      <c r="I143" s="31"/>
    </row>
    <row r="144" spans="1:9" s="14" customFormat="1" ht="22.5">
      <c r="A144" s="28" t="s">
        <v>38</v>
      </c>
      <c r="B144" s="51" t="s">
        <v>63</v>
      </c>
      <c r="C144" s="51" t="s">
        <v>13</v>
      </c>
      <c r="D144" s="51" t="s">
        <v>349</v>
      </c>
      <c r="E144" s="51" t="s">
        <v>39</v>
      </c>
      <c r="F144" s="19">
        <v>35619967.43</v>
      </c>
      <c r="G144" s="19">
        <f>9646737.98+40000+2500212.47+31357.27+218.52+1134826.64+3468511.02+2289487.9+27357+10416.11+2707524.5+4471937.45-58977.86+96514</f>
        <v>26366123</v>
      </c>
      <c r="H144" s="41"/>
      <c r="I144" s="31"/>
    </row>
    <row r="145" spans="1:9" s="14" customFormat="1" ht="22.5">
      <c r="A145" s="28" t="s">
        <v>64</v>
      </c>
      <c r="B145" s="51" t="s">
        <v>63</v>
      </c>
      <c r="C145" s="51" t="s">
        <v>13</v>
      </c>
      <c r="D145" s="51" t="s">
        <v>70</v>
      </c>
      <c r="E145" s="51" t="s">
        <v>11</v>
      </c>
      <c r="F145" s="19">
        <f>F146</f>
        <v>21633944.36</v>
      </c>
      <c r="G145" s="19">
        <f>G146</f>
        <v>11681978.159999998</v>
      </c>
      <c r="H145" s="41"/>
      <c r="I145" s="31"/>
    </row>
    <row r="146" spans="1:9" s="14" customFormat="1" ht="22.5">
      <c r="A146" s="28" t="s">
        <v>38</v>
      </c>
      <c r="B146" s="51" t="s">
        <v>63</v>
      </c>
      <c r="C146" s="51" t="s">
        <v>13</v>
      </c>
      <c r="D146" s="51" t="s">
        <v>70</v>
      </c>
      <c r="E146" s="51" t="s">
        <v>39</v>
      </c>
      <c r="F146" s="19">
        <v>21633944.36</v>
      </c>
      <c r="G146" s="19">
        <f>5326243.25+41329.33+1359378.8+37700.39+140177.32+167830.95+56664+14742+61199+21687.08+3020784.97+20200+832691.84+20115.77+35710+46416.95+150815.24+161041.91+21128+10000+136121.36</f>
        <v>11681978.159999998</v>
      </c>
      <c r="H146" s="41"/>
      <c r="I146" s="31"/>
    </row>
    <row r="147" spans="1:9" s="14" customFormat="1" ht="90">
      <c r="A147" s="28" t="s">
        <v>391</v>
      </c>
      <c r="B147" s="51" t="s">
        <v>63</v>
      </c>
      <c r="C147" s="51" t="s">
        <v>13</v>
      </c>
      <c r="D147" s="51" t="s">
        <v>350</v>
      </c>
      <c r="E147" s="51" t="s">
        <v>11</v>
      </c>
      <c r="F147" s="19">
        <f>F148</f>
        <v>345000</v>
      </c>
      <c r="G147" s="19">
        <f>G148</f>
        <v>146271.36</v>
      </c>
      <c r="H147" s="41"/>
      <c r="I147" s="31"/>
    </row>
    <row r="148" spans="1:9" s="14" customFormat="1" ht="22.5">
      <c r="A148" s="28" t="s">
        <v>38</v>
      </c>
      <c r="B148" s="51" t="s">
        <v>63</v>
      </c>
      <c r="C148" s="51" t="s">
        <v>13</v>
      </c>
      <c r="D148" s="51" t="s">
        <v>350</v>
      </c>
      <c r="E148" s="51" t="s">
        <v>39</v>
      </c>
      <c r="F148" s="19">
        <f>233100+111900</f>
        <v>345000</v>
      </c>
      <c r="G148" s="19">
        <f>84948.16+61323.2</f>
        <v>146271.36</v>
      </c>
      <c r="H148" s="41"/>
      <c r="I148" s="31"/>
    </row>
    <row r="149" spans="1:9" s="14" customFormat="1" ht="45">
      <c r="A149" s="28" t="s">
        <v>436</v>
      </c>
      <c r="B149" s="51" t="s">
        <v>63</v>
      </c>
      <c r="C149" s="51" t="s">
        <v>13</v>
      </c>
      <c r="D149" s="51" t="s">
        <v>428</v>
      </c>
      <c r="E149" s="51" t="s">
        <v>11</v>
      </c>
      <c r="F149" s="19">
        <f>F150</f>
        <v>1300000</v>
      </c>
      <c r="G149" s="19">
        <f>G150</f>
        <v>0</v>
      </c>
      <c r="H149" s="41"/>
      <c r="I149" s="31"/>
    </row>
    <row r="150" spans="1:9" s="14" customFormat="1" ht="22.5">
      <c r="A150" s="28" t="s">
        <v>38</v>
      </c>
      <c r="B150" s="51" t="s">
        <v>63</v>
      </c>
      <c r="C150" s="51" t="s">
        <v>13</v>
      </c>
      <c r="D150" s="51" t="s">
        <v>428</v>
      </c>
      <c r="E150" s="51" t="s">
        <v>39</v>
      </c>
      <c r="F150" s="19">
        <v>1300000</v>
      </c>
      <c r="G150" s="19"/>
      <c r="H150" s="41"/>
      <c r="I150" s="31"/>
    </row>
    <row r="151" spans="1:9" s="14" customFormat="1" ht="35.25" customHeight="1">
      <c r="A151" s="28" t="s">
        <v>395</v>
      </c>
      <c r="B151" s="51" t="s">
        <v>63</v>
      </c>
      <c r="C151" s="51" t="s">
        <v>13</v>
      </c>
      <c r="D151" s="51" t="s">
        <v>149</v>
      </c>
      <c r="E151" s="51" t="s">
        <v>11</v>
      </c>
      <c r="F151" s="19">
        <f>F152</f>
        <v>6025468.27</v>
      </c>
      <c r="G151" s="19">
        <f>G152</f>
        <v>3544877.0100000002</v>
      </c>
      <c r="H151" s="41"/>
      <c r="I151" s="31"/>
    </row>
    <row r="152" spans="1:9" s="14" customFormat="1" ht="22.5">
      <c r="A152" s="28" t="s">
        <v>38</v>
      </c>
      <c r="B152" s="51" t="s">
        <v>63</v>
      </c>
      <c r="C152" s="51" t="s">
        <v>13</v>
      </c>
      <c r="D152" s="51" t="s">
        <v>149</v>
      </c>
      <c r="E152" s="51" t="s">
        <v>39</v>
      </c>
      <c r="F152" s="19">
        <v>6025468.27</v>
      </c>
      <c r="G152" s="19">
        <f>44344.23+11260.37+2759923.2+729349.21</f>
        <v>3544877.0100000002</v>
      </c>
      <c r="H152" s="41"/>
      <c r="I152" s="31"/>
    </row>
    <row r="153" spans="1:9" s="14" customFormat="1" ht="37.5" customHeight="1">
      <c r="A153" s="28" t="s">
        <v>328</v>
      </c>
      <c r="B153" s="51" t="s">
        <v>63</v>
      </c>
      <c r="C153" s="51" t="s">
        <v>13</v>
      </c>
      <c r="D153" s="51" t="s">
        <v>321</v>
      </c>
      <c r="E153" s="51" t="s">
        <v>11</v>
      </c>
      <c r="F153" s="19">
        <f>F154</f>
        <v>412500</v>
      </c>
      <c r="G153" s="19"/>
      <c r="H153" s="41"/>
      <c r="I153" s="31"/>
    </row>
    <row r="154" spans="1:9" s="14" customFormat="1" ht="22.5">
      <c r="A154" s="28" t="s">
        <v>38</v>
      </c>
      <c r="B154" s="51" t="s">
        <v>63</v>
      </c>
      <c r="C154" s="51" t="s">
        <v>13</v>
      </c>
      <c r="D154" s="51" t="s">
        <v>321</v>
      </c>
      <c r="E154" s="51" t="s">
        <v>39</v>
      </c>
      <c r="F154" s="19">
        <v>412500</v>
      </c>
      <c r="G154" s="19"/>
      <c r="H154" s="41"/>
      <c r="I154" s="31"/>
    </row>
    <row r="155" spans="1:9" ht="22.5">
      <c r="A155" s="6" t="s">
        <v>71</v>
      </c>
      <c r="B155" s="10" t="s">
        <v>63</v>
      </c>
      <c r="C155" s="10" t="s">
        <v>72</v>
      </c>
      <c r="D155" s="10" t="s">
        <v>8</v>
      </c>
      <c r="E155" s="10" t="s">
        <v>11</v>
      </c>
      <c r="F155" s="21">
        <f>F156+F158+F160+F162+F164+F166</f>
        <v>15313815.11</v>
      </c>
      <c r="G155" s="21">
        <f>G156+G158+G160+G162+G164+G166</f>
        <v>10254533.62</v>
      </c>
      <c r="H155" s="32"/>
      <c r="I155" s="33"/>
    </row>
    <row r="156" spans="1:9" s="14" customFormat="1" ht="12.75">
      <c r="A156" s="28" t="s">
        <v>20</v>
      </c>
      <c r="B156" s="15" t="s">
        <v>63</v>
      </c>
      <c r="C156" s="15" t="s">
        <v>72</v>
      </c>
      <c r="D156" s="15" t="s">
        <v>21</v>
      </c>
      <c r="E156" s="15" t="s">
        <v>11</v>
      </c>
      <c r="F156" s="27">
        <f>F157</f>
        <v>1731260.38</v>
      </c>
      <c r="G156" s="27">
        <f>G157</f>
        <v>1177169.44</v>
      </c>
      <c r="H156" s="41"/>
      <c r="I156" s="31"/>
    </row>
    <row r="157" spans="1:9" s="14" customFormat="1" ht="22.5">
      <c r="A157" s="28" t="s">
        <v>18</v>
      </c>
      <c r="B157" s="51" t="s">
        <v>63</v>
      </c>
      <c r="C157" s="51" t="s">
        <v>72</v>
      </c>
      <c r="D157" s="51" t="s">
        <v>21</v>
      </c>
      <c r="E157" s="51" t="s">
        <v>154</v>
      </c>
      <c r="F157" s="27">
        <v>1731260.38</v>
      </c>
      <c r="G157" s="27">
        <f>922477.55+254691.89</f>
        <v>1177169.44</v>
      </c>
      <c r="H157" s="41"/>
      <c r="I157" s="31"/>
    </row>
    <row r="158" spans="1:9" s="14" customFormat="1" ht="27.75" customHeight="1">
      <c r="A158" s="28" t="s">
        <v>64</v>
      </c>
      <c r="B158" s="15" t="s">
        <v>63</v>
      </c>
      <c r="C158" s="51" t="s">
        <v>72</v>
      </c>
      <c r="D158" s="15" t="s">
        <v>80</v>
      </c>
      <c r="E158" s="15" t="s">
        <v>11</v>
      </c>
      <c r="F158" s="27">
        <f>F159</f>
        <v>9132558.23</v>
      </c>
      <c r="G158" s="27">
        <f>G159</f>
        <v>5395617.8</v>
      </c>
      <c r="H158" s="41"/>
      <c r="I158" s="33"/>
    </row>
    <row r="159" spans="1:9" s="14" customFormat="1" ht="27" customHeight="1">
      <c r="A159" s="28" t="s">
        <v>38</v>
      </c>
      <c r="B159" s="15" t="s">
        <v>63</v>
      </c>
      <c r="C159" s="15" t="s">
        <v>72</v>
      </c>
      <c r="D159" s="15" t="s">
        <v>80</v>
      </c>
      <c r="E159" s="15" t="s">
        <v>39</v>
      </c>
      <c r="F159" s="27">
        <v>9132558.23</v>
      </c>
      <c r="G159" s="27">
        <f>3538170+780220.79+89810.79+4433.1+144438.42+231268.66+235.92+607040.12</f>
        <v>5395617.8</v>
      </c>
      <c r="H159" s="41"/>
      <c r="I159" s="33"/>
    </row>
    <row r="160" spans="1:9" s="14" customFormat="1" ht="90">
      <c r="A160" s="28" t="s">
        <v>391</v>
      </c>
      <c r="B160" s="51" t="s">
        <v>61</v>
      </c>
      <c r="C160" s="51" t="s">
        <v>72</v>
      </c>
      <c r="D160" s="51" t="s">
        <v>351</v>
      </c>
      <c r="E160" s="51" t="s">
        <v>11</v>
      </c>
      <c r="F160" s="27">
        <f>F161</f>
        <v>337000</v>
      </c>
      <c r="G160" s="27">
        <f>G161</f>
        <v>99503.81</v>
      </c>
      <c r="H160" s="41"/>
      <c r="I160" s="33"/>
    </row>
    <row r="161" spans="1:9" s="14" customFormat="1" ht="22.5">
      <c r="A161" s="28" t="s">
        <v>38</v>
      </c>
      <c r="B161" s="15" t="s">
        <v>63</v>
      </c>
      <c r="C161" s="15" t="s">
        <v>72</v>
      </c>
      <c r="D161" s="51" t="s">
        <v>351</v>
      </c>
      <c r="E161" s="51" t="s">
        <v>39</v>
      </c>
      <c r="F161" s="27">
        <v>337000</v>
      </c>
      <c r="G161" s="27">
        <v>99503.81</v>
      </c>
      <c r="H161" s="41"/>
      <c r="I161" s="33"/>
    </row>
    <row r="162" spans="1:9" s="14" customFormat="1" ht="26.25" customHeight="1">
      <c r="A162" s="28" t="s">
        <v>236</v>
      </c>
      <c r="B162" s="51" t="s">
        <v>63</v>
      </c>
      <c r="C162" s="51" t="s">
        <v>72</v>
      </c>
      <c r="D162" s="51" t="s">
        <v>254</v>
      </c>
      <c r="E162" s="51" t="s">
        <v>11</v>
      </c>
      <c r="F162" s="19">
        <f>F163</f>
        <v>0</v>
      </c>
      <c r="G162" s="19">
        <f>G163</f>
        <v>0</v>
      </c>
      <c r="H162" s="41"/>
      <c r="I162" s="33"/>
    </row>
    <row r="163" spans="1:9" s="14" customFormat="1" ht="22.5" customHeight="1">
      <c r="A163" s="28" t="s">
        <v>38</v>
      </c>
      <c r="B163" s="51" t="s">
        <v>63</v>
      </c>
      <c r="C163" s="51" t="s">
        <v>72</v>
      </c>
      <c r="D163" s="51" t="s">
        <v>254</v>
      </c>
      <c r="E163" s="51" t="s">
        <v>39</v>
      </c>
      <c r="F163" s="19">
        <v>0</v>
      </c>
      <c r="G163" s="19"/>
      <c r="H163" s="32"/>
      <c r="I163" s="33"/>
    </row>
    <row r="164" spans="1:9" s="14" customFormat="1" ht="36.75" customHeight="1">
      <c r="A164" s="28" t="s">
        <v>220</v>
      </c>
      <c r="B164" s="51" t="s">
        <v>63</v>
      </c>
      <c r="C164" s="51" t="s">
        <v>72</v>
      </c>
      <c r="D164" s="51" t="s">
        <v>255</v>
      </c>
      <c r="E164" s="51" t="s">
        <v>11</v>
      </c>
      <c r="F164" s="19">
        <f>F165</f>
        <v>244471.7</v>
      </c>
      <c r="G164" s="19">
        <f>G165</f>
        <v>195107.59</v>
      </c>
      <c r="H164" s="41"/>
      <c r="I164" s="31"/>
    </row>
    <row r="165" spans="1:9" s="14" customFormat="1" ht="24.75" customHeight="1">
      <c r="A165" s="28" t="s">
        <v>38</v>
      </c>
      <c r="B165" s="51" t="s">
        <v>63</v>
      </c>
      <c r="C165" s="51" t="s">
        <v>72</v>
      </c>
      <c r="D165" s="51" t="s">
        <v>255</v>
      </c>
      <c r="E165" s="51" t="s">
        <v>39</v>
      </c>
      <c r="F165" s="19">
        <v>244471.7</v>
      </c>
      <c r="G165" s="19">
        <f>93746.29+23529.3+77832</f>
        <v>195107.59</v>
      </c>
      <c r="H165" s="41"/>
      <c r="I165" s="31"/>
    </row>
    <row r="166" spans="1:9" s="14" customFormat="1" ht="22.5">
      <c r="A166" s="28" t="s">
        <v>58</v>
      </c>
      <c r="B166" s="51" t="s">
        <v>63</v>
      </c>
      <c r="C166" s="51" t="s">
        <v>72</v>
      </c>
      <c r="D166" s="51" t="s">
        <v>51</v>
      </c>
      <c r="E166" s="51" t="s">
        <v>11</v>
      </c>
      <c r="F166" s="19">
        <f>F167</f>
        <v>3868524.8</v>
      </c>
      <c r="G166" s="19">
        <f>G167</f>
        <v>3387134.98</v>
      </c>
      <c r="H166" s="41"/>
      <c r="I166" s="31"/>
    </row>
    <row r="167" spans="1:9" s="14" customFormat="1" ht="22.5">
      <c r="A167" s="28" t="s">
        <v>18</v>
      </c>
      <c r="B167" s="51" t="s">
        <v>63</v>
      </c>
      <c r="C167" s="51" t="s">
        <v>72</v>
      </c>
      <c r="D167" s="51" t="s">
        <v>51</v>
      </c>
      <c r="E167" s="51" t="s">
        <v>154</v>
      </c>
      <c r="F167" s="19">
        <v>3868524.8</v>
      </c>
      <c r="G167" s="19">
        <f>375320.49+64517.27+2337616.12+45694.1+121619+249550+192818</f>
        <v>3387134.98</v>
      </c>
      <c r="H167" s="41"/>
      <c r="I167" s="31"/>
    </row>
    <row r="168" spans="1:9" ht="22.5">
      <c r="A168" s="7" t="s">
        <v>74</v>
      </c>
      <c r="B168" s="9" t="s">
        <v>55</v>
      </c>
      <c r="C168" s="9" t="s">
        <v>10</v>
      </c>
      <c r="D168" s="9" t="s">
        <v>8</v>
      </c>
      <c r="E168" s="9" t="s">
        <v>11</v>
      </c>
      <c r="F168" s="24">
        <f>F169+F188</f>
        <v>39001376.2</v>
      </c>
      <c r="G168" s="24">
        <f>G169+G188</f>
        <v>21770621.450000003</v>
      </c>
      <c r="H168" s="41"/>
      <c r="I168" s="31"/>
    </row>
    <row r="169" spans="1:9" ht="12.75">
      <c r="A169" s="6" t="s">
        <v>73</v>
      </c>
      <c r="B169" s="10" t="s">
        <v>55</v>
      </c>
      <c r="C169" s="10" t="s">
        <v>9</v>
      </c>
      <c r="D169" s="10" t="s">
        <v>8</v>
      </c>
      <c r="E169" s="10" t="s">
        <v>11</v>
      </c>
      <c r="F169" s="21">
        <f>F170+F172+F174+F176+F178+F180+F182+F186+F184</f>
        <v>35796421.2</v>
      </c>
      <c r="G169" s="21">
        <f>G170+G176+G178+G183+G174+G180+G186</f>
        <v>19901524.540000003</v>
      </c>
      <c r="H169" s="41"/>
      <c r="I169" s="31"/>
    </row>
    <row r="170" spans="1:9" s="14" customFormat="1" ht="22.5">
      <c r="A170" s="28" t="s">
        <v>64</v>
      </c>
      <c r="B170" s="51" t="s">
        <v>55</v>
      </c>
      <c r="C170" s="51" t="s">
        <v>9</v>
      </c>
      <c r="D170" s="51" t="s">
        <v>75</v>
      </c>
      <c r="E170" s="51" t="s">
        <v>11</v>
      </c>
      <c r="F170" s="19">
        <f>F171</f>
        <v>22362819</v>
      </c>
      <c r="G170" s="19">
        <f>G171+G172</f>
        <v>13878050.680000002</v>
      </c>
      <c r="H170" s="41"/>
      <c r="I170" s="31"/>
    </row>
    <row r="171" spans="1:9" s="14" customFormat="1" ht="22.5">
      <c r="A171" s="28" t="s">
        <v>38</v>
      </c>
      <c r="B171" s="51" t="s">
        <v>55</v>
      </c>
      <c r="C171" s="51" t="s">
        <v>9</v>
      </c>
      <c r="D171" s="51" t="s">
        <v>76</v>
      </c>
      <c r="E171" s="51" t="s">
        <v>39</v>
      </c>
      <c r="F171" s="19">
        <v>22362819</v>
      </c>
      <c r="G171" s="19">
        <f>6795298.75+6040.56+1738232.89+64140.32+270+1069472.39+2681563.19+251165.15+547928.06+295965+290719.73</f>
        <v>13740796.040000001</v>
      </c>
      <c r="H171" s="41"/>
      <c r="I171" s="31"/>
    </row>
    <row r="172" spans="1:9" s="14" customFormat="1" ht="22.5">
      <c r="A172" s="28" t="s">
        <v>64</v>
      </c>
      <c r="B172" s="51" t="s">
        <v>55</v>
      </c>
      <c r="C172" s="51" t="s">
        <v>9</v>
      </c>
      <c r="D172" s="51" t="s">
        <v>75</v>
      </c>
      <c r="E172" s="51" t="s">
        <v>11</v>
      </c>
      <c r="F172" s="19">
        <f>F173</f>
        <v>137254.64</v>
      </c>
      <c r="G172" s="19">
        <f>G173</f>
        <v>137254.64</v>
      </c>
      <c r="H172" s="41"/>
      <c r="I172" s="31"/>
    </row>
    <row r="173" spans="1:9" s="14" customFormat="1" ht="33.75">
      <c r="A173" s="28" t="s">
        <v>388</v>
      </c>
      <c r="B173" s="51" t="s">
        <v>55</v>
      </c>
      <c r="C173" s="51" t="s">
        <v>9</v>
      </c>
      <c r="D173" s="51" t="s">
        <v>75</v>
      </c>
      <c r="E173" s="51" t="s">
        <v>139</v>
      </c>
      <c r="F173" s="19">
        <v>137254.64</v>
      </c>
      <c r="G173" s="19">
        <v>137254.64</v>
      </c>
      <c r="H173" s="41"/>
      <c r="I173" s="31"/>
    </row>
    <row r="174" spans="1:9" s="14" customFormat="1" ht="90">
      <c r="A174" s="28" t="s">
        <v>391</v>
      </c>
      <c r="B174" s="51" t="s">
        <v>55</v>
      </c>
      <c r="C174" s="51" t="s">
        <v>9</v>
      </c>
      <c r="D174" s="51" t="s">
        <v>352</v>
      </c>
      <c r="E174" s="51" t="s">
        <v>11</v>
      </c>
      <c r="F174" s="19">
        <f>F175</f>
        <v>3442100</v>
      </c>
      <c r="G174" s="19">
        <f>G175</f>
        <v>1703927.08</v>
      </c>
      <c r="H174" s="41"/>
      <c r="I174" s="31"/>
    </row>
    <row r="175" spans="1:9" s="14" customFormat="1" ht="22.5">
      <c r="A175" s="28" t="s">
        <v>38</v>
      </c>
      <c r="B175" s="51" t="s">
        <v>55</v>
      </c>
      <c r="C175" s="51" t="s">
        <v>9</v>
      </c>
      <c r="D175" s="51" t="s">
        <v>352</v>
      </c>
      <c r="E175" s="51" t="s">
        <v>39</v>
      </c>
      <c r="F175" s="19">
        <v>3442100</v>
      </c>
      <c r="G175" s="19">
        <f>1703927.08</f>
        <v>1703927.08</v>
      </c>
      <c r="H175" s="41"/>
      <c r="I175" s="31"/>
    </row>
    <row r="176" spans="1:9" s="14" customFormat="1" ht="22.5">
      <c r="A176" s="28" t="s">
        <v>64</v>
      </c>
      <c r="B176" s="51" t="s">
        <v>55</v>
      </c>
      <c r="C176" s="51" t="s">
        <v>9</v>
      </c>
      <c r="D176" s="51" t="s">
        <v>77</v>
      </c>
      <c r="E176" s="51" t="s">
        <v>11</v>
      </c>
      <c r="F176" s="19">
        <f>F177</f>
        <v>519479.55</v>
      </c>
      <c r="G176" s="19">
        <f>G177</f>
        <v>279124.33</v>
      </c>
      <c r="H176" s="40"/>
      <c r="I176" s="34"/>
    </row>
    <row r="177" spans="1:9" s="14" customFormat="1" ht="22.5">
      <c r="A177" s="28" t="s">
        <v>38</v>
      </c>
      <c r="B177" s="51" t="s">
        <v>55</v>
      </c>
      <c r="C177" s="51" t="s">
        <v>9</v>
      </c>
      <c r="D177" s="51" t="s">
        <v>77</v>
      </c>
      <c r="E177" s="51" t="s">
        <v>39</v>
      </c>
      <c r="F177" s="19">
        <v>519479.55</v>
      </c>
      <c r="G177" s="19">
        <f>184555.03+53371+5323.45+3350+19648.85+576+12300</f>
        <v>279124.33</v>
      </c>
      <c r="H177" s="41"/>
      <c r="I177" s="31"/>
    </row>
    <row r="178" spans="1:9" s="14" customFormat="1" ht="22.5">
      <c r="A178" s="28" t="s">
        <v>64</v>
      </c>
      <c r="B178" s="51" t="s">
        <v>55</v>
      </c>
      <c r="C178" s="51" t="s">
        <v>9</v>
      </c>
      <c r="D178" s="51" t="s">
        <v>78</v>
      </c>
      <c r="E178" s="51" t="s">
        <v>11</v>
      </c>
      <c r="F178" s="19">
        <f>F179</f>
        <v>6670468.01</v>
      </c>
      <c r="G178" s="19">
        <f>G179</f>
        <v>3158602.46</v>
      </c>
      <c r="H178" s="41"/>
      <c r="I178" s="31"/>
    </row>
    <row r="179" spans="1:9" s="14" customFormat="1" ht="22.5">
      <c r="A179" s="28" t="s">
        <v>38</v>
      </c>
      <c r="B179" s="51" t="s">
        <v>55</v>
      </c>
      <c r="C179" s="51" t="s">
        <v>9</v>
      </c>
      <c r="D179" s="51" t="s">
        <v>78</v>
      </c>
      <c r="E179" s="51" t="s">
        <v>39</v>
      </c>
      <c r="F179" s="19">
        <v>6670468.01</v>
      </c>
      <c r="G179" s="19">
        <f>2322534.61+740.08+573598.52+31970.14+48+41098.42+55730.48+8095.9+11408+12585+100793.31</f>
        <v>3158602.46</v>
      </c>
      <c r="H179" s="41"/>
      <c r="I179" s="31"/>
    </row>
    <row r="180" spans="1:9" s="14" customFormat="1" ht="90">
      <c r="A180" s="28" t="s">
        <v>391</v>
      </c>
      <c r="B180" s="51" t="s">
        <v>55</v>
      </c>
      <c r="C180" s="51" t="s">
        <v>9</v>
      </c>
      <c r="D180" s="51" t="s">
        <v>353</v>
      </c>
      <c r="E180" s="51" t="s">
        <v>11</v>
      </c>
      <c r="F180" s="19">
        <f>F181</f>
        <v>96400</v>
      </c>
      <c r="G180" s="19">
        <f>G181</f>
        <v>60141.25</v>
      </c>
      <c r="H180" s="41"/>
      <c r="I180" s="31"/>
    </row>
    <row r="181" spans="1:9" s="14" customFormat="1" ht="22.5">
      <c r="A181" s="28" t="s">
        <v>38</v>
      </c>
      <c r="B181" s="51" t="s">
        <v>55</v>
      </c>
      <c r="C181" s="51" t="s">
        <v>9</v>
      </c>
      <c r="D181" s="51" t="s">
        <v>353</v>
      </c>
      <c r="E181" s="51" t="s">
        <v>39</v>
      </c>
      <c r="F181" s="19">
        <v>96400</v>
      </c>
      <c r="G181" s="19">
        <v>60141.25</v>
      </c>
      <c r="H181" s="41"/>
      <c r="I181" s="31"/>
    </row>
    <row r="182" spans="1:9" s="14" customFormat="1" ht="45">
      <c r="A182" s="28" t="s">
        <v>392</v>
      </c>
      <c r="B182" s="51" t="s">
        <v>55</v>
      </c>
      <c r="C182" s="51" t="s">
        <v>9</v>
      </c>
      <c r="D182" s="51" t="s">
        <v>354</v>
      </c>
      <c r="E182" s="51" t="s">
        <v>11</v>
      </c>
      <c r="F182" s="19">
        <f>F183</f>
        <v>915200</v>
      </c>
      <c r="G182" s="19">
        <f>G183</f>
        <v>457599.69</v>
      </c>
      <c r="H182" s="41"/>
      <c r="I182" s="31"/>
    </row>
    <row r="183" spans="1:9" s="14" customFormat="1" ht="22.5">
      <c r="A183" s="28" t="s">
        <v>38</v>
      </c>
      <c r="B183" s="51" t="s">
        <v>55</v>
      </c>
      <c r="C183" s="51" t="s">
        <v>9</v>
      </c>
      <c r="D183" s="51" t="s">
        <v>354</v>
      </c>
      <c r="E183" s="51" t="s">
        <v>39</v>
      </c>
      <c r="F183" s="19">
        <v>915200</v>
      </c>
      <c r="G183" s="19">
        <f>237692.48+131158.5+88748.71</f>
        <v>457599.69</v>
      </c>
      <c r="H183" s="41"/>
      <c r="I183" s="31"/>
    </row>
    <row r="184" spans="1:9" s="14" customFormat="1" ht="45">
      <c r="A184" s="28" t="s">
        <v>436</v>
      </c>
      <c r="B184" s="51" t="s">
        <v>55</v>
      </c>
      <c r="C184" s="51" t="s">
        <v>9</v>
      </c>
      <c r="D184" s="51" t="s">
        <v>429</v>
      </c>
      <c r="E184" s="51" t="s">
        <v>11</v>
      </c>
      <c r="F184" s="19">
        <f>F185</f>
        <v>1200000</v>
      </c>
      <c r="G184" s="19">
        <f>G185</f>
        <v>0</v>
      </c>
      <c r="H184" s="41"/>
      <c r="I184" s="31"/>
    </row>
    <row r="185" spans="1:9" s="14" customFormat="1" ht="22.5">
      <c r="A185" s="28" t="s">
        <v>38</v>
      </c>
      <c r="B185" s="51" t="s">
        <v>55</v>
      </c>
      <c r="C185" s="51" t="s">
        <v>9</v>
      </c>
      <c r="D185" s="51" t="s">
        <v>429</v>
      </c>
      <c r="E185" s="51" t="s">
        <v>39</v>
      </c>
      <c r="F185" s="19">
        <v>1200000</v>
      </c>
      <c r="G185" s="19"/>
      <c r="H185" s="41"/>
      <c r="I185" s="31"/>
    </row>
    <row r="186" spans="1:9" s="14" customFormat="1" ht="23.25" customHeight="1">
      <c r="A186" s="28" t="s">
        <v>307</v>
      </c>
      <c r="B186" s="51" t="s">
        <v>55</v>
      </c>
      <c r="C186" s="51" t="s">
        <v>9</v>
      </c>
      <c r="D186" s="51" t="s">
        <v>306</v>
      </c>
      <c r="E186" s="51" t="s">
        <v>11</v>
      </c>
      <c r="F186" s="19">
        <f>F187</f>
        <v>452700</v>
      </c>
      <c r="G186" s="19">
        <f>G187</f>
        <v>364079.05</v>
      </c>
      <c r="H186" s="41"/>
      <c r="I186" s="31"/>
    </row>
    <row r="187" spans="1:9" s="14" customFormat="1" ht="22.5" customHeight="1">
      <c r="A187" s="28" t="s">
        <v>38</v>
      </c>
      <c r="B187" s="51" t="s">
        <v>55</v>
      </c>
      <c r="C187" s="51" t="s">
        <v>9</v>
      </c>
      <c r="D187" s="51" t="s">
        <v>306</v>
      </c>
      <c r="E187" s="51" t="s">
        <v>39</v>
      </c>
      <c r="F187" s="19">
        <v>452700</v>
      </c>
      <c r="G187" s="19">
        <f>364079.05</f>
        <v>364079.05</v>
      </c>
      <c r="H187" s="41"/>
      <c r="I187" s="31"/>
    </row>
    <row r="188" spans="1:9" s="14" customFormat="1" ht="33.75">
      <c r="A188" s="56" t="s">
        <v>79</v>
      </c>
      <c r="B188" s="57" t="s">
        <v>55</v>
      </c>
      <c r="C188" s="57" t="s">
        <v>31</v>
      </c>
      <c r="D188" s="57" t="s">
        <v>8</v>
      </c>
      <c r="E188" s="57" t="s">
        <v>11</v>
      </c>
      <c r="F188" s="59">
        <f>F189+F191</f>
        <v>3204955</v>
      </c>
      <c r="G188" s="59">
        <f>G189+G191</f>
        <v>1869096.9100000001</v>
      </c>
      <c r="H188" s="41"/>
      <c r="I188" s="31"/>
    </row>
    <row r="189" spans="1:9" s="14" customFormat="1" ht="12.75">
      <c r="A189" s="28" t="s">
        <v>20</v>
      </c>
      <c r="B189" s="15" t="s">
        <v>55</v>
      </c>
      <c r="C189" s="15" t="s">
        <v>31</v>
      </c>
      <c r="D189" s="15" t="s">
        <v>21</v>
      </c>
      <c r="E189" s="15" t="s">
        <v>11</v>
      </c>
      <c r="F189" s="27">
        <f>F190</f>
        <v>913653</v>
      </c>
      <c r="G189" s="27">
        <f>G190</f>
        <v>531324.11</v>
      </c>
      <c r="H189" s="41"/>
      <c r="I189" s="31"/>
    </row>
    <row r="190" spans="1:9" s="14" customFormat="1" ht="22.5">
      <c r="A190" s="28" t="s">
        <v>18</v>
      </c>
      <c r="B190" s="15" t="s">
        <v>55</v>
      </c>
      <c r="C190" s="15" t="s">
        <v>31</v>
      </c>
      <c r="D190" s="15" t="s">
        <v>21</v>
      </c>
      <c r="E190" s="15" t="s">
        <v>154</v>
      </c>
      <c r="F190" s="27">
        <v>913653</v>
      </c>
      <c r="G190" s="27">
        <f>395760.64+200+102129.36+23293.55+18+600+9322.56</f>
        <v>531324.11</v>
      </c>
      <c r="H190" s="41"/>
      <c r="I190" s="31"/>
    </row>
    <row r="191" spans="1:9" s="14" customFormat="1" ht="22.5">
      <c r="A191" s="28" t="s">
        <v>64</v>
      </c>
      <c r="B191" s="51" t="s">
        <v>55</v>
      </c>
      <c r="C191" s="51" t="s">
        <v>31</v>
      </c>
      <c r="D191" s="51" t="s">
        <v>80</v>
      </c>
      <c r="E191" s="51" t="s">
        <v>11</v>
      </c>
      <c r="F191" s="19">
        <f>F192</f>
        <v>2291302</v>
      </c>
      <c r="G191" s="19">
        <f>G192</f>
        <v>1337772.8</v>
      </c>
      <c r="H191" s="41"/>
      <c r="I191" s="31"/>
    </row>
    <row r="192" spans="1:9" s="14" customFormat="1" ht="22.5">
      <c r="A192" s="28" t="s">
        <v>38</v>
      </c>
      <c r="B192" s="51" t="s">
        <v>55</v>
      </c>
      <c r="C192" s="51" t="s">
        <v>81</v>
      </c>
      <c r="D192" s="51" t="s">
        <v>80</v>
      </c>
      <c r="E192" s="51" t="s">
        <v>82</v>
      </c>
      <c r="F192" s="19">
        <v>2291302</v>
      </c>
      <c r="G192" s="19">
        <f>980655.01+247.25+236221.17+12962.79+13059+71599.56+2644+1403.02+18981</f>
        <v>1337772.8</v>
      </c>
      <c r="H192" s="41"/>
      <c r="I192" s="31"/>
    </row>
    <row r="193" spans="1:9" ht="22.5">
      <c r="A193" s="7" t="s">
        <v>83</v>
      </c>
      <c r="B193" s="9" t="s">
        <v>72</v>
      </c>
      <c r="C193" s="9" t="s">
        <v>10</v>
      </c>
      <c r="D193" s="9" t="s">
        <v>8</v>
      </c>
      <c r="E193" s="9" t="s">
        <v>11</v>
      </c>
      <c r="F193" s="24">
        <f>F194+F207+F225+F232+F218</f>
        <v>111775277.8</v>
      </c>
      <c r="G193" s="24">
        <f>G194+G207+G225+G232+G218</f>
        <v>66271257.830000006</v>
      </c>
      <c r="H193" s="32"/>
      <c r="I193" s="33"/>
    </row>
    <row r="194" spans="1:9" ht="12.75">
      <c r="A194" s="6" t="s">
        <v>84</v>
      </c>
      <c r="B194" s="10" t="s">
        <v>72</v>
      </c>
      <c r="C194" s="10" t="s">
        <v>9</v>
      </c>
      <c r="D194" s="10" t="s">
        <v>8</v>
      </c>
      <c r="E194" s="10" t="s">
        <v>11</v>
      </c>
      <c r="F194" s="21">
        <f>F195+F197+F199+F201+F203+F205</f>
        <v>52212862.059999995</v>
      </c>
      <c r="G194" s="21">
        <f>G195+G197+G199+G201+G203+G205</f>
        <v>33713050.650000006</v>
      </c>
      <c r="H194" s="32"/>
      <c r="I194" s="33"/>
    </row>
    <row r="195" spans="1:9" ht="125.25" customHeight="1">
      <c r="A195" s="64" t="s">
        <v>396</v>
      </c>
      <c r="B195" s="11" t="s">
        <v>72</v>
      </c>
      <c r="C195" s="11" t="s">
        <v>9</v>
      </c>
      <c r="D195" s="13" t="s">
        <v>322</v>
      </c>
      <c r="E195" s="13" t="s">
        <v>11</v>
      </c>
      <c r="F195" s="27">
        <f>F196</f>
        <v>300000</v>
      </c>
      <c r="G195" s="27">
        <f>G196</f>
        <v>300000</v>
      </c>
      <c r="H195" s="32"/>
      <c r="I195" s="33"/>
    </row>
    <row r="196" spans="1:9" ht="22.5">
      <c r="A196" s="4" t="s">
        <v>64</v>
      </c>
      <c r="B196" s="11" t="s">
        <v>72</v>
      </c>
      <c r="C196" s="11" t="s">
        <v>9</v>
      </c>
      <c r="D196" s="13" t="s">
        <v>322</v>
      </c>
      <c r="E196" s="13" t="s">
        <v>308</v>
      </c>
      <c r="F196" s="27">
        <v>300000</v>
      </c>
      <c r="G196" s="27">
        <v>300000</v>
      </c>
      <c r="H196" s="32"/>
      <c r="I196" s="33"/>
    </row>
    <row r="197" spans="1:9" ht="22.5">
      <c r="A197" s="4" t="s">
        <v>64</v>
      </c>
      <c r="B197" s="11" t="s">
        <v>72</v>
      </c>
      <c r="C197" s="11" t="s">
        <v>9</v>
      </c>
      <c r="D197" s="11" t="s">
        <v>85</v>
      </c>
      <c r="E197" s="11" t="s">
        <v>11</v>
      </c>
      <c r="F197" s="17">
        <f>F198</f>
        <v>46912096.26</v>
      </c>
      <c r="G197" s="17">
        <f>G198</f>
        <v>29137029.85</v>
      </c>
      <c r="H197" s="41"/>
      <c r="I197" s="31"/>
    </row>
    <row r="198" spans="1:9" ht="22.5">
      <c r="A198" s="4" t="s">
        <v>38</v>
      </c>
      <c r="B198" s="11" t="s">
        <v>72</v>
      </c>
      <c r="C198" s="11" t="s">
        <v>9</v>
      </c>
      <c r="D198" s="11" t="s">
        <v>85</v>
      </c>
      <c r="E198" s="11" t="s">
        <v>39</v>
      </c>
      <c r="F198" s="17">
        <v>46912096.26</v>
      </c>
      <c r="G198" s="17">
        <f>212645+10387036.4+2727563.29+301057.51+1058431.09+4175849.63+1142329.23+98752.95+529107.33+8504257.42</f>
        <v>29137029.85</v>
      </c>
      <c r="H198" s="41"/>
      <c r="I198" s="31"/>
    </row>
    <row r="199" spans="1:9" ht="22.5">
      <c r="A199" s="4" t="s">
        <v>64</v>
      </c>
      <c r="B199" s="11" t="s">
        <v>72</v>
      </c>
      <c r="C199" s="11" t="s">
        <v>9</v>
      </c>
      <c r="D199" s="11" t="s">
        <v>85</v>
      </c>
      <c r="E199" s="11" t="s">
        <v>11</v>
      </c>
      <c r="F199" s="17">
        <f>F200</f>
        <v>91565.8</v>
      </c>
      <c r="G199" s="17">
        <f>G200</f>
        <v>59095.8</v>
      </c>
      <c r="H199" s="41"/>
      <c r="I199" s="31"/>
    </row>
    <row r="200" spans="1:9" ht="45" customHeight="1">
      <c r="A200" s="4" t="s">
        <v>397</v>
      </c>
      <c r="B200" s="11" t="s">
        <v>72</v>
      </c>
      <c r="C200" s="11" t="s">
        <v>9</v>
      </c>
      <c r="D200" s="11" t="s">
        <v>85</v>
      </c>
      <c r="E200" s="11" t="s">
        <v>275</v>
      </c>
      <c r="F200" s="17">
        <v>91565.8</v>
      </c>
      <c r="G200" s="17">
        <f>59095.8</f>
        <v>59095.8</v>
      </c>
      <c r="H200" s="41"/>
      <c r="I200" s="31"/>
    </row>
    <row r="201" spans="1:9" ht="33.75">
      <c r="A201" s="4" t="s">
        <v>389</v>
      </c>
      <c r="B201" s="11" t="s">
        <v>72</v>
      </c>
      <c r="C201" s="11" t="s">
        <v>9</v>
      </c>
      <c r="D201" s="11" t="s">
        <v>355</v>
      </c>
      <c r="E201" s="11" t="s">
        <v>11</v>
      </c>
      <c r="F201" s="17">
        <f>F202</f>
        <v>2000000</v>
      </c>
      <c r="G201" s="17">
        <f>G202</f>
        <v>2000000</v>
      </c>
      <c r="H201" s="41"/>
      <c r="I201" s="31"/>
    </row>
    <row r="202" spans="1:9" ht="22.5">
      <c r="A202" s="4" t="s">
        <v>38</v>
      </c>
      <c r="B202" s="11" t="s">
        <v>72</v>
      </c>
      <c r="C202" s="11" t="s">
        <v>9</v>
      </c>
      <c r="D202" s="11" t="s">
        <v>355</v>
      </c>
      <c r="E202" s="11" t="s">
        <v>39</v>
      </c>
      <c r="F202" s="17">
        <v>2000000</v>
      </c>
      <c r="G202" s="17">
        <v>2000000</v>
      </c>
      <c r="H202" s="41"/>
      <c r="I202" s="31"/>
    </row>
    <row r="203" spans="1:9" ht="90">
      <c r="A203" s="4" t="s">
        <v>391</v>
      </c>
      <c r="B203" s="11" t="s">
        <v>72</v>
      </c>
      <c r="C203" s="11" t="s">
        <v>9</v>
      </c>
      <c r="D203" s="11" t="s">
        <v>356</v>
      </c>
      <c r="E203" s="11" t="s">
        <v>11</v>
      </c>
      <c r="F203" s="17">
        <f>F204</f>
        <v>2727000</v>
      </c>
      <c r="G203" s="17">
        <f>G204</f>
        <v>2034725</v>
      </c>
      <c r="H203" s="41"/>
      <c r="I203" s="31"/>
    </row>
    <row r="204" spans="1:9" ht="22.5">
      <c r="A204" s="4" t="s">
        <v>38</v>
      </c>
      <c r="B204" s="11" t="s">
        <v>72</v>
      </c>
      <c r="C204" s="11" t="s">
        <v>9</v>
      </c>
      <c r="D204" s="11" t="s">
        <v>356</v>
      </c>
      <c r="E204" s="11" t="s">
        <v>39</v>
      </c>
      <c r="F204" s="17">
        <v>2727000</v>
      </c>
      <c r="G204" s="17">
        <f>2034725</f>
        <v>2034725</v>
      </c>
      <c r="H204" s="41"/>
      <c r="I204" s="31"/>
    </row>
    <row r="205" spans="1:9" ht="22.5">
      <c r="A205" s="4" t="s">
        <v>64</v>
      </c>
      <c r="B205" s="11" t="s">
        <v>72</v>
      </c>
      <c r="C205" s="11" t="s">
        <v>9</v>
      </c>
      <c r="D205" s="11" t="s">
        <v>357</v>
      </c>
      <c r="E205" s="11" t="s">
        <v>11</v>
      </c>
      <c r="F205" s="17">
        <f>F206</f>
        <v>182200</v>
      </c>
      <c r="G205" s="17">
        <f>G206</f>
        <v>182200</v>
      </c>
      <c r="H205" s="41"/>
      <c r="I205" s="31"/>
    </row>
    <row r="206" spans="1:9" ht="22.5">
      <c r="A206" s="4" t="s">
        <v>38</v>
      </c>
      <c r="B206" s="11" t="s">
        <v>72</v>
      </c>
      <c r="C206" s="11" t="s">
        <v>9</v>
      </c>
      <c r="D206" s="11" t="s">
        <v>357</v>
      </c>
      <c r="E206" s="11" t="s">
        <v>39</v>
      </c>
      <c r="F206" s="17">
        <v>182200</v>
      </c>
      <c r="G206" s="17">
        <v>182200</v>
      </c>
      <c r="H206" s="38"/>
      <c r="I206" s="39"/>
    </row>
    <row r="207" spans="1:9" ht="12.75">
      <c r="A207" s="6" t="s">
        <v>86</v>
      </c>
      <c r="B207" s="10" t="s">
        <v>72</v>
      </c>
      <c r="C207" s="10" t="s">
        <v>13</v>
      </c>
      <c r="D207" s="10" t="s">
        <v>8</v>
      </c>
      <c r="E207" s="10" t="s">
        <v>11</v>
      </c>
      <c r="F207" s="21">
        <f>F208+F210+F212+F214+F216</f>
        <v>37039665.18</v>
      </c>
      <c r="G207" s="21">
        <f>G208+G210+G212+G214+G216</f>
        <v>21018866.66</v>
      </c>
      <c r="H207" s="40"/>
      <c r="I207" s="34"/>
    </row>
    <row r="208" spans="1:9" ht="22.5">
      <c r="A208" s="4" t="s">
        <v>64</v>
      </c>
      <c r="B208" s="11" t="s">
        <v>72</v>
      </c>
      <c r="C208" s="11" t="s">
        <v>13</v>
      </c>
      <c r="D208" s="11" t="s">
        <v>87</v>
      </c>
      <c r="E208" s="11" t="s">
        <v>11</v>
      </c>
      <c r="F208" s="17">
        <f>F209</f>
        <v>26722042.42</v>
      </c>
      <c r="G208" s="17">
        <f>G209</f>
        <v>14429798.23</v>
      </c>
      <c r="H208" s="41"/>
      <c r="I208" s="31"/>
    </row>
    <row r="209" spans="1:9" ht="22.5">
      <c r="A209" s="4" t="s">
        <v>38</v>
      </c>
      <c r="B209" s="11" t="s">
        <v>72</v>
      </c>
      <c r="C209" s="11" t="s">
        <v>13</v>
      </c>
      <c r="D209" s="11" t="s">
        <v>87</v>
      </c>
      <c r="E209" s="11" t="s">
        <v>39</v>
      </c>
      <c r="F209" s="17">
        <v>26722042.42</v>
      </c>
      <c r="G209" s="65">
        <f>8929006.4+2254112.34+40000+7375.7+318737.15+419688.56+88006.37+640667.74+1732203.97</f>
        <v>14429798.23</v>
      </c>
      <c r="H209" s="41"/>
      <c r="I209" s="31"/>
    </row>
    <row r="210" spans="1:9" ht="90">
      <c r="A210" s="4" t="s">
        <v>391</v>
      </c>
      <c r="B210" s="11" t="s">
        <v>72</v>
      </c>
      <c r="C210" s="11" t="s">
        <v>13</v>
      </c>
      <c r="D210" s="11" t="s">
        <v>358</v>
      </c>
      <c r="E210" s="11" t="s">
        <v>11</v>
      </c>
      <c r="F210" s="17">
        <f>F211</f>
        <v>1055800</v>
      </c>
      <c r="G210" s="17">
        <f>G211</f>
        <v>555371.55</v>
      </c>
      <c r="H210" s="41"/>
      <c r="I210" s="31"/>
    </row>
    <row r="211" spans="1:9" ht="22.5">
      <c r="A211" s="4" t="s">
        <v>38</v>
      </c>
      <c r="B211" s="11" t="s">
        <v>72</v>
      </c>
      <c r="C211" s="11" t="s">
        <v>13</v>
      </c>
      <c r="D211" s="11" t="s">
        <v>358</v>
      </c>
      <c r="E211" s="11" t="s">
        <v>39</v>
      </c>
      <c r="F211" s="17">
        <v>1055800</v>
      </c>
      <c r="G211" s="17">
        <f>555371.55</f>
        <v>555371.55</v>
      </c>
      <c r="H211" s="41"/>
      <c r="I211" s="31"/>
    </row>
    <row r="212" spans="1:9" ht="22.5">
      <c r="A212" s="4" t="s">
        <v>64</v>
      </c>
      <c r="B212" s="11" t="s">
        <v>72</v>
      </c>
      <c r="C212" s="11" t="s">
        <v>13</v>
      </c>
      <c r="D212" s="11" t="s">
        <v>88</v>
      </c>
      <c r="E212" s="11" t="s">
        <v>11</v>
      </c>
      <c r="F212" s="17">
        <f>F213</f>
        <v>6428007.76</v>
      </c>
      <c r="G212" s="17">
        <f>G213</f>
        <v>3728998.3</v>
      </c>
      <c r="H212" s="40"/>
      <c r="I212" s="34"/>
    </row>
    <row r="213" spans="1:9" ht="22.5">
      <c r="A213" s="4" t="s">
        <v>38</v>
      </c>
      <c r="B213" s="11" t="s">
        <v>72</v>
      </c>
      <c r="C213" s="11" t="s">
        <v>13</v>
      </c>
      <c r="D213" s="11" t="s">
        <v>88</v>
      </c>
      <c r="E213" s="11" t="s">
        <v>39</v>
      </c>
      <c r="F213" s="17">
        <v>6428007.76</v>
      </c>
      <c r="G213" s="17">
        <f>2551144.11+599593.75+10533.27+45783.43+438000+22054.34+61889.4</f>
        <v>3728998.3</v>
      </c>
      <c r="H213" s="32"/>
      <c r="I213" s="33"/>
    </row>
    <row r="214" spans="1:9" ht="90">
      <c r="A214" s="4" t="s">
        <v>391</v>
      </c>
      <c r="B214" s="11" t="s">
        <v>72</v>
      </c>
      <c r="C214" s="11" t="s">
        <v>13</v>
      </c>
      <c r="D214" s="11" t="s">
        <v>359</v>
      </c>
      <c r="E214" s="11" t="s">
        <v>11</v>
      </c>
      <c r="F214" s="17">
        <f>F215</f>
        <v>799500</v>
      </c>
      <c r="G214" s="17">
        <f>G215</f>
        <v>524625.02</v>
      </c>
      <c r="H214" s="32"/>
      <c r="I214" s="33"/>
    </row>
    <row r="215" spans="1:9" s="14" customFormat="1" ht="22.5">
      <c r="A215" s="4" t="s">
        <v>38</v>
      </c>
      <c r="B215" s="51" t="s">
        <v>72</v>
      </c>
      <c r="C215" s="51" t="s">
        <v>13</v>
      </c>
      <c r="D215" s="11" t="s">
        <v>359</v>
      </c>
      <c r="E215" s="51" t="s">
        <v>39</v>
      </c>
      <c r="F215" s="19">
        <v>799500</v>
      </c>
      <c r="G215" s="19">
        <f>524625.02</f>
        <v>524625.02</v>
      </c>
      <c r="H215" s="32"/>
      <c r="I215" s="33"/>
    </row>
    <row r="216" spans="1:9" ht="56.25">
      <c r="A216" s="4" t="s">
        <v>398</v>
      </c>
      <c r="B216" s="11" t="s">
        <v>72</v>
      </c>
      <c r="C216" s="11" t="s">
        <v>13</v>
      </c>
      <c r="D216" s="11" t="s">
        <v>151</v>
      </c>
      <c r="E216" s="11" t="s">
        <v>11</v>
      </c>
      <c r="F216" s="17">
        <f>F217</f>
        <v>2034315</v>
      </c>
      <c r="G216" s="17">
        <f>G217</f>
        <v>1780073.56</v>
      </c>
      <c r="H216" s="41"/>
      <c r="I216" s="31"/>
    </row>
    <row r="217" spans="1:9" ht="22.5">
      <c r="A217" s="4" t="s">
        <v>38</v>
      </c>
      <c r="B217" s="11" t="s">
        <v>72</v>
      </c>
      <c r="C217" s="11" t="s">
        <v>13</v>
      </c>
      <c r="D217" s="11" t="s">
        <v>151</v>
      </c>
      <c r="E217" s="11" t="s">
        <v>39</v>
      </c>
      <c r="F217" s="17">
        <v>2034315</v>
      </c>
      <c r="G217" s="17">
        <f>1425032.56+355041</f>
        <v>1780073.56</v>
      </c>
      <c r="H217" s="41"/>
      <c r="I217" s="31"/>
    </row>
    <row r="218" spans="1:9" ht="13.5" customHeight="1">
      <c r="A218" s="6" t="s">
        <v>277</v>
      </c>
      <c r="B218" s="10" t="s">
        <v>72</v>
      </c>
      <c r="C218" s="10" t="s">
        <v>25</v>
      </c>
      <c r="D218" s="10" t="s">
        <v>8</v>
      </c>
      <c r="E218" s="10" t="s">
        <v>11</v>
      </c>
      <c r="F218" s="21">
        <f>F219+F221+F223</f>
        <v>20089241</v>
      </c>
      <c r="G218" s="21">
        <f>G219+G221+G223</f>
        <v>9657293.36</v>
      </c>
      <c r="H218" s="41"/>
      <c r="I218" s="31"/>
    </row>
    <row r="219" spans="1:9" ht="25.5" customHeight="1">
      <c r="A219" s="4" t="s">
        <v>64</v>
      </c>
      <c r="B219" s="11" t="s">
        <v>72</v>
      </c>
      <c r="C219" s="11" t="s">
        <v>25</v>
      </c>
      <c r="D219" s="11" t="s">
        <v>276</v>
      </c>
      <c r="E219" s="11" t="s">
        <v>11</v>
      </c>
      <c r="F219" s="17">
        <f>F220</f>
        <v>6986848</v>
      </c>
      <c r="G219" s="17">
        <f>G220</f>
        <v>3375592.25</v>
      </c>
      <c r="H219" s="41"/>
      <c r="I219" s="31"/>
    </row>
    <row r="220" spans="1:9" ht="25.5" customHeight="1">
      <c r="A220" s="4" t="s">
        <v>38</v>
      </c>
      <c r="B220" s="11" t="s">
        <v>72</v>
      </c>
      <c r="C220" s="11" t="s">
        <v>25</v>
      </c>
      <c r="D220" s="11" t="s">
        <v>85</v>
      </c>
      <c r="E220" s="11" t="s">
        <v>39</v>
      </c>
      <c r="F220" s="17">
        <v>6986848</v>
      </c>
      <c r="G220" s="17">
        <f>2055176.78+553671.75+5000+85.92+8650+753007.8</f>
        <v>3375592.25</v>
      </c>
      <c r="H220" s="41"/>
      <c r="I220" s="31"/>
    </row>
    <row r="221" spans="1:9" s="14" customFormat="1" ht="25.5" customHeight="1">
      <c r="A221" s="28" t="s">
        <v>64</v>
      </c>
      <c r="B221" s="51" t="s">
        <v>72</v>
      </c>
      <c r="C221" s="51" t="s">
        <v>25</v>
      </c>
      <c r="D221" s="51" t="s">
        <v>87</v>
      </c>
      <c r="E221" s="51" t="s">
        <v>11</v>
      </c>
      <c r="F221" s="19">
        <f>F222</f>
        <v>10975408</v>
      </c>
      <c r="G221" s="19">
        <f>G222</f>
        <v>5693808.18</v>
      </c>
      <c r="H221" s="41"/>
      <c r="I221" s="31"/>
    </row>
    <row r="222" spans="1:9" s="14" customFormat="1" ht="22.5">
      <c r="A222" s="28" t="s">
        <v>38</v>
      </c>
      <c r="B222" s="51" t="s">
        <v>72</v>
      </c>
      <c r="C222" s="51" t="s">
        <v>25</v>
      </c>
      <c r="D222" s="51" t="s">
        <v>87</v>
      </c>
      <c r="E222" s="51" t="s">
        <v>39</v>
      </c>
      <c r="F222" s="19">
        <v>10975408</v>
      </c>
      <c r="G222" s="19">
        <f>4407629.6+958865.08+3134.08+46714.75+10818+266646.67</f>
        <v>5693808.18</v>
      </c>
      <c r="H222" s="41"/>
      <c r="I222" s="31"/>
    </row>
    <row r="223" spans="1:9" s="14" customFormat="1" ht="56.25">
      <c r="A223" s="28" t="s">
        <v>398</v>
      </c>
      <c r="B223" s="51" t="s">
        <v>72</v>
      </c>
      <c r="C223" s="51" t="s">
        <v>25</v>
      </c>
      <c r="D223" s="51" t="s">
        <v>151</v>
      </c>
      <c r="E223" s="51" t="s">
        <v>11</v>
      </c>
      <c r="F223" s="19">
        <f>F224</f>
        <v>2126985</v>
      </c>
      <c r="G223" s="19">
        <f>G224</f>
        <v>587892.9299999999</v>
      </c>
      <c r="H223" s="41"/>
      <c r="I223" s="31"/>
    </row>
    <row r="224" spans="1:9" s="14" customFormat="1" ht="22.5">
      <c r="A224" s="28" t="s">
        <v>38</v>
      </c>
      <c r="B224" s="51" t="s">
        <v>72</v>
      </c>
      <c r="C224" s="51" t="s">
        <v>25</v>
      </c>
      <c r="D224" s="51" t="s">
        <v>151</v>
      </c>
      <c r="E224" s="51" t="s">
        <v>39</v>
      </c>
      <c r="F224" s="19">
        <v>2126985</v>
      </c>
      <c r="G224" s="19">
        <f>476798.93+111094</f>
        <v>587892.9299999999</v>
      </c>
      <c r="H224" s="41"/>
      <c r="I224" s="31"/>
    </row>
    <row r="225" spans="1:9" ht="12.75">
      <c r="A225" s="6" t="s">
        <v>89</v>
      </c>
      <c r="B225" s="10" t="s">
        <v>72</v>
      </c>
      <c r="C225" s="10" t="s">
        <v>55</v>
      </c>
      <c r="D225" s="10" t="s">
        <v>8</v>
      </c>
      <c r="E225" s="10" t="s">
        <v>11</v>
      </c>
      <c r="F225" s="21">
        <f>F228+F226+F230</f>
        <v>885826.4099999999</v>
      </c>
      <c r="G225" s="21">
        <f>G228+G226+G230</f>
        <v>602428.85</v>
      </c>
      <c r="H225" s="41"/>
      <c r="I225" s="31"/>
    </row>
    <row r="226" spans="1:9" ht="45">
      <c r="A226" s="4" t="s">
        <v>228</v>
      </c>
      <c r="B226" s="68" t="s">
        <v>72</v>
      </c>
      <c r="C226" s="68" t="s">
        <v>55</v>
      </c>
      <c r="D226" s="68" t="s">
        <v>248</v>
      </c>
      <c r="E226" s="68" t="s">
        <v>11</v>
      </c>
      <c r="F226" s="69">
        <f>F227</f>
        <v>1234.87</v>
      </c>
      <c r="G226" s="69">
        <f>G227</f>
        <v>1234.87</v>
      </c>
      <c r="H226" s="41"/>
      <c r="I226" s="31"/>
    </row>
    <row r="227" spans="1:9" ht="12.75">
      <c r="A227" s="28" t="s">
        <v>219</v>
      </c>
      <c r="B227" s="68" t="s">
        <v>72</v>
      </c>
      <c r="C227" s="68" t="s">
        <v>55</v>
      </c>
      <c r="D227" s="68" t="s">
        <v>248</v>
      </c>
      <c r="E227" s="11" t="s">
        <v>203</v>
      </c>
      <c r="F227" s="69">
        <v>1234.87</v>
      </c>
      <c r="G227" s="69">
        <v>1234.87</v>
      </c>
      <c r="H227" s="41"/>
      <c r="I227" s="31"/>
    </row>
    <row r="228" spans="1:9" ht="32.25" customHeight="1">
      <c r="A228" s="4" t="s">
        <v>237</v>
      </c>
      <c r="B228" s="11" t="s">
        <v>72</v>
      </c>
      <c r="C228" s="11" t="s">
        <v>55</v>
      </c>
      <c r="D228" s="11" t="s">
        <v>278</v>
      </c>
      <c r="E228" s="11" t="s">
        <v>11</v>
      </c>
      <c r="F228" s="17">
        <f>F229</f>
        <v>559930.98</v>
      </c>
      <c r="G228" s="17">
        <f>G229</f>
        <v>344293.98</v>
      </c>
      <c r="H228" s="41"/>
      <c r="I228" s="31"/>
    </row>
    <row r="229" spans="1:9" ht="21.75" customHeight="1">
      <c r="A229" s="4" t="s">
        <v>18</v>
      </c>
      <c r="B229" s="11" t="s">
        <v>72</v>
      </c>
      <c r="C229" s="11" t="s">
        <v>55</v>
      </c>
      <c r="D229" s="11" t="s">
        <v>278</v>
      </c>
      <c r="E229" s="11" t="s">
        <v>154</v>
      </c>
      <c r="F229" s="17">
        <v>559930.98</v>
      </c>
      <c r="G229" s="17">
        <f>344293+0.98</f>
        <v>344293.98</v>
      </c>
      <c r="H229" s="40"/>
      <c r="I229" s="34"/>
    </row>
    <row r="230" spans="1:9" s="14" customFormat="1" ht="22.5">
      <c r="A230" s="28" t="s">
        <v>58</v>
      </c>
      <c r="B230" s="51" t="s">
        <v>72</v>
      </c>
      <c r="C230" s="51" t="s">
        <v>55</v>
      </c>
      <c r="D230" s="51" t="s">
        <v>51</v>
      </c>
      <c r="E230" s="51" t="s">
        <v>11</v>
      </c>
      <c r="F230" s="19">
        <f>F231</f>
        <v>324660.56</v>
      </c>
      <c r="G230" s="19">
        <f>G231</f>
        <v>256900</v>
      </c>
      <c r="H230" s="40"/>
      <c r="I230" s="34"/>
    </row>
    <row r="231" spans="1:9" s="14" customFormat="1" ht="33.75">
      <c r="A231" s="28" t="s">
        <v>237</v>
      </c>
      <c r="B231" s="51" t="s">
        <v>72</v>
      </c>
      <c r="C231" s="51" t="s">
        <v>55</v>
      </c>
      <c r="D231" s="51" t="s">
        <v>51</v>
      </c>
      <c r="E231" s="51" t="s">
        <v>360</v>
      </c>
      <c r="F231" s="19">
        <v>324660.56</v>
      </c>
      <c r="G231" s="19">
        <f>125670+66850+64380</f>
        <v>256900</v>
      </c>
      <c r="H231" s="40"/>
      <c r="I231" s="34"/>
    </row>
    <row r="232" spans="1:9" ht="33.75">
      <c r="A232" s="6" t="s">
        <v>90</v>
      </c>
      <c r="B232" s="10" t="s">
        <v>72</v>
      </c>
      <c r="C232" s="10" t="s">
        <v>91</v>
      </c>
      <c r="D232" s="10" t="s">
        <v>8</v>
      </c>
      <c r="E232" s="10" t="s">
        <v>11</v>
      </c>
      <c r="F232" s="21">
        <f>F233+F235</f>
        <v>1547683.15</v>
      </c>
      <c r="G232" s="21">
        <f>G233+G235</f>
        <v>1279618.31</v>
      </c>
      <c r="H232" s="41"/>
      <c r="I232" s="31"/>
    </row>
    <row r="233" spans="1:9" ht="22.5">
      <c r="A233" s="4" t="s">
        <v>64</v>
      </c>
      <c r="B233" s="11" t="s">
        <v>72</v>
      </c>
      <c r="C233" s="11" t="s">
        <v>91</v>
      </c>
      <c r="D233" s="11" t="s">
        <v>80</v>
      </c>
      <c r="E233" s="11" t="s">
        <v>11</v>
      </c>
      <c r="F233" s="17">
        <f>F234</f>
        <v>1546337</v>
      </c>
      <c r="G233" s="17">
        <f>G234</f>
        <v>1279618.31</v>
      </c>
      <c r="H233" s="32"/>
      <c r="I233" s="33"/>
    </row>
    <row r="234" spans="1:9" ht="22.5">
      <c r="A234" s="4" t="s">
        <v>38</v>
      </c>
      <c r="B234" s="11" t="s">
        <v>72</v>
      </c>
      <c r="C234" s="11" t="s">
        <v>91</v>
      </c>
      <c r="D234" s="11" t="s">
        <v>80</v>
      </c>
      <c r="E234" s="11" t="s">
        <v>39</v>
      </c>
      <c r="F234" s="17">
        <v>1546337</v>
      </c>
      <c r="G234" s="17">
        <f>1049921.35+229696.96</f>
        <v>1279618.31</v>
      </c>
      <c r="H234" s="32"/>
      <c r="I234" s="33"/>
    </row>
    <row r="235" spans="1:9" ht="12.75">
      <c r="A235" s="4" t="s">
        <v>218</v>
      </c>
      <c r="B235" s="11" t="s">
        <v>72</v>
      </c>
      <c r="C235" s="11" t="s">
        <v>91</v>
      </c>
      <c r="D235" s="11" t="s">
        <v>315</v>
      </c>
      <c r="E235" s="11" t="s">
        <v>11</v>
      </c>
      <c r="F235" s="17">
        <f>F236</f>
        <v>1346.15</v>
      </c>
      <c r="G235" s="17">
        <f>G236</f>
        <v>0</v>
      </c>
      <c r="H235" s="32"/>
      <c r="I235" s="33"/>
    </row>
    <row r="236" spans="1:9" ht="33.75">
      <c r="A236" s="4" t="s">
        <v>237</v>
      </c>
      <c r="B236" s="11" t="s">
        <v>72</v>
      </c>
      <c r="C236" s="11" t="s">
        <v>91</v>
      </c>
      <c r="D236" s="11" t="s">
        <v>315</v>
      </c>
      <c r="E236" s="11" t="s">
        <v>360</v>
      </c>
      <c r="F236" s="17">
        <v>1346.15</v>
      </c>
      <c r="G236" s="17"/>
      <c r="H236" s="32"/>
      <c r="I236" s="33"/>
    </row>
    <row r="237" spans="1:9" ht="12.75">
      <c r="A237" s="7" t="s">
        <v>92</v>
      </c>
      <c r="B237" s="9" t="s">
        <v>91</v>
      </c>
      <c r="C237" s="9" t="s">
        <v>10</v>
      </c>
      <c r="D237" s="9" t="s">
        <v>8</v>
      </c>
      <c r="E237" s="9" t="s">
        <v>11</v>
      </c>
      <c r="F237" s="24">
        <f>F238+F241+F246+F297+F306</f>
        <v>197713615.38</v>
      </c>
      <c r="G237" s="24">
        <f>G238+G241+G246+G297+G306</f>
        <v>122773648.33000001</v>
      </c>
      <c r="H237" s="40"/>
      <c r="I237" s="34"/>
    </row>
    <row r="238" spans="1:9" ht="12.75">
      <c r="A238" s="6" t="s">
        <v>94</v>
      </c>
      <c r="B238" s="10" t="s">
        <v>91</v>
      </c>
      <c r="C238" s="10" t="s">
        <v>9</v>
      </c>
      <c r="D238" s="10" t="s">
        <v>8</v>
      </c>
      <c r="E238" s="10" t="s">
        <v>11</v>
      </c>
      <c r="F238" s="21">
        <f>F239</f>
        <v>1401400</v>
      </c>
      <c r="G238" s="21">
        <f>G239</f>
        <v>941073.99</v>
      </c>
      <c r="H238" s="41"/>
      <c r="I238" s="31"/>
    </row>
    <row r="239" spans="1:9" ht="33.75">
      <c r="A239" s="4" t="s">
        <v>399</v>
      </c>
      <c r="B239" s="11" t="s">
        <v>91</v>
      </c>
      <c r="C239" s="11" t="s">
        <v>9</v>
      </c>
      <c r="D239" s="11" t="s">
        <v>93</v>
      </c>
      <c r="E239" s="11" t="s">
        <v>11</v>
      </c>
      <c r="F239" s="17">
        <f>F240</f>
        <v>1401400</v>
      </c>
      <c r="G239" s="17">
        <f>G240</f>
        <v>941073.99</v>
      </c>
      <c r="H239" s="41"/>
      <c r="I239" s="31"/>
    </row>
    <row r="240" spans="1:9" ht="12.75">
      <c r="A240" s="4" t="s">
        <v>48</v>
      </c>
      <c r="B240" s="11" t="s">
        <v>91</v>
      </c>
      <c r="C240" s="11" t="s">
        <v>9</v>
      </c>
      <c r="D240" s="11" t="s">
        <v>96</v>
      </c>
      <c r="E240" s="11" t="s">
        <v>49</v>
      </c>
      <c r="F240" s="17">
        <v>1401400</v>
      </c>
      <c r="G240" s="17">
        <f>941073.99</f>
        <v>941073.99</v>
      </c>
      <c r="H240" s="41"/>
      <c r="I240" s="31"/>
    </row>
    <row r="241" spans="1:9" ht="18" customHeight="1">
      <c r="A241" s="6" t="s">
        <v>97</v>
      </c>
      <c r="B241" s="10" t="s">
        <v>91</v>
      </c>
      <c r="C241" s="10" t="s">
        <v>13</v>
      </c>
      <c r="D241" s="10" t="s">
        <v>8</v>
      </c>
      <c r="E241" s="10" t="s">
        <v>11</v>
      </c>
      <c r="F241" s="21">
        <f>F242+F244</f>
        <v>14384596.26</v>
      </c>
      <c r="G241" s="21">
        <f>G242+G244</f>
        <v>9217805.330000002</v>
      </c>
      <c r="H241" s="41"/>
      <c r="I241" s="31"/>
    </row>
    <row r="242" spans="1:9" ht="22.5">
      <c r="A242" s="4" t="s">
        <v>400</v>
      </c>
      <c r="B242" s="11" t="s">
        <v>91</v>
      </c>
      <c r="C242" s="11" t="s">
        <v>13</v>
      </c>
      <c r="D242" s="11" t="s">
        <v>98</v>
      </c>
      <c r="E242" s="11" t="s">
        <v>11</v>
      </c>
      <c r="F242" s="17">
        <f>F243</f>
        <v>55540.85</v>
      </c>
      <c r="G242" s="17">
        <f>G243</f>
        <v>55540.85</v>
      </c>
      <c r="H242" s="41"/>
      <c r="I242" s="31"/>
    </row>
    <row r="243" spans="1:9" ht="22.5">
      <c r="A243" s="4" t="s">
        <v>38</v>
      </c>
      <c r="B243" s="11" t="s">
        <v>91</v>
      </c>
      <c r="C243" s="11" t="s">
        <v>13</v>
      </c>
      <c r="D243" s="11" t="s">
        <v>98</v>
      </c>
      <c r="E243" s="11" t="s">
        <v>39</v>
      </c>
      <c r="F243" s="17">
        <v>55540.85</v>
      </c>
      <c r="G243" s="17">
        <f>9000+29000+17540.85</f>
        <v>55540.85</v>
      </c>
      <c r="H243" s="41"/>
      <c r="I243" s="31"/>
    </row>
    <row r="244" spans="1:9" ht="22.5">
      <c r="A244" s="4" t="s">
        <v>401</v>
      </c>
      <c r="B244" s="11" t="s">
        <v>91</v>
      </c>
      <c r="C244" s="11" t="s">
        <v>13</v>
      </c>
      <c r="D244" s="11" t="s">
        <v>361</v>
      </c>
      <c r="E244" s="11" t="s">
        <v>11</v>
      </c>
      <c r="F244" s="17">
        <f>F245</f>
        <v>14329055.41</v>
      </c>
      <c r="G244" s="17">
        <f>G245</f>
        <v>9162264.480000002</v>
      </c>
      <c r="H244" s="41"/>
      <c r="I244" s="31"/>
    </row>
    <row r="245" spans="1:9" ht="22.5">
      <c r="A245" s="4" t="s">
        <v>400</v>
      </c>
      <c r="B245" s="11" t="s">
        <v>91</v>
      </c>
      <c r="C245" s="11" t="s">
        <v>13</v>
      </c>
      <c r="D245" s="11" t="s">
        <v>361</v>
      </c>
      <c r="E245" s="11" t="s">
        <v>39</v>
      </c>
      <c r="F245" s="17">
        <v>14329055.41</v>
      </c>
      <c r="G245" s="17">
        <f>2723004.81+721804.99+31116.58+54053+34256.33+41507.3+112058.51+54000+35468.22+376972.43+2759600.64+12100+698724.11+19950.48+165232.03+91886.7+43217.07+32870+33000+1121441.28</f>
        <v>9162264.480000002</v>
      </c>
      <c r="H245" s="41"/>
      <c r="I245" s="31"/>
    </row>
    <row r="246" spans="1:9" ht="12.75">
      <c r="A246" s="6" t="s">
        <v>99</v>
      </c>
      <c r="B246" s="10" t="s">
        <v>91</v>
      </c>
      <c r="C246" s="10" t="s">
        <v>19</v>
      </c>
      <c r="D246" s="10" t="s">
        <v>8</v>
      </c>
      <c r="E246" s="10" t="s">
        <v>11</v>
      </c>
      <c r="F246" s="21">
        <f>F247+F249+F251+F253+F255+F257+F259+F261+F263+F267+F271+F273+F275+F277+F279+F281+F285+F287+F289+F291+F293+F265+F269+F283+F295</f>
        <v>148376048.88</v>
      </c>
      <c r="G246" s="21">
        <f>G247+G249+G251+G253+G255+G257+G259+G261+G263+G267+G271+G273+G275+G277+G279+G281+G285+G287+G289+G291+G293+G283+G295</f>
        <v>94155424.63000001</v>
      </c>
      <c r="H246" s="38"/>
      <c r="I246" s="39"/>
    </row>
    <row r="247" spans="1:9" ht="34.5" customHeight="1">
      <c r="A247" s="4" t="s">
        <v>238</v>
      </c>
      <c r="B247" s="13" t="s">
        <v>91</v>
      </c>
      <c r="C247" s="13" t="s">
        <v>19</v>
      </c>
      <c r="D247" s="13" t="s">
        <v>207</v>
      </c>
      <c r="E247" s="13" t="s">
        <v>11</v>
      </c>
      <c r="F247" s="27">
        <f>F248</f>
        <v>2061100</v>
      </c>
      <c r="G247" s="27">
        <f>G248</f>
        <v>2061100</v>
      </c>
      <c r="H247" s="40"/>
      <c r="I247" s="34"/>
    </row>
    <row r="248" spans="1:9" ht="45" customHeight="1">
      <c r="A248" s="4" t="s">
        <v>239</v>
      </c>
      <c r="B248" s="13" t="s">
        <v>91</v>
      </c>
      <c r="C248" s="13" t="s">
        <v>19</v>
      </c>
      <c r="D248" s="13" t="s">
        <v>207</v>
      </c>
      <c r="E248" s="13" t="s">
        <v>208</v>
      </c>
      <c r="F248" s="27">
        <v>2061100</v>
      </c>
      <c r="G248" s="27">
        <v>2061100</v>
      </c>
      <c r="H248" s="41"/>
      <c r="I248" s="31"/>
    </row>
    <row r="249" spans="1:9" ht="42.75" customHeight="1">
      <c r="A249" s="4" t="s">
        <v>402</v>
      </c>
      <c r="B249" s="11" t="s">
        <v>91</v>
      </c>
      <c r="C249" s="11" t="s">
        <v>19</v>
      </c>
      <c r="D249" s="11" t="s">
        <v>362</v>
      </c>
      <c r="E249" s="11" t="s">
        <v>11</v>
      </c>
      <c r="F249" s="18">
        <f>F250</f>
        <v>4690800</v>
      </c>
      <c r="G249" s="18">
        <f>G250</f>
        <v>3737332.22</v>
      </c>
      <c r="H249" s="41"/>
      <c r="I249" s="31"/>
    </row>
    <row r="250" spans="1:9" ht="15" customHeight="1">
      <c r="A250" s="4" t="s">
        <v>48</v>
      </c>
      <c r="B250" s="11" t="s">
        <v>91</v>
      </c>
      <c r="C250" s="11" t="s">
        <v>19</v>
      </c>
      <c r="D250" s="11" t="s">
        <v>362</v>
      </c>
      <c r="E250" s="11" t="s">
        <v>49</v>
      </c>
      <c r="F250" s="17">
        <v>4690800</v>
      </c>
      <c r="G250" s="17">
        <v>3737332.22</v>
      </c>
      <c r="H250" s="41"/>
      <c r="I250" s="31"/>
    </row>
    <row r="251" spans="1:9" ht="45">
      <c r="A251" s="4" t="s">
        <v>403</v>
      </c>
      <c r="B251" s="11" t="s">
        <v>91</v>
      </c>
      <c r="C251" s="11" t="s">
        <v>19</v>
      </c>
      <c r="D251" s="11" t="s">
        <v>363</v>
      </c>
      <c r="E251" s="11" t="s">
        <v>11</v>
      </c>
      <c r="F251" s="17">
        <f>F252</f>
        <v>8800100</v>
      </c>
      <c r="G251" s="17">
        <f>G252</f>
        <v>2751298.54</v>
      </c>
      <c r="H251" s="40"/>
      <c r="I251" s="34"/>
    </row>
    <row r="252" spans="1:9" ht="14.25" customHeight="1">
      <c r="A252" s="4" t="s">
        <v>48</v>
      </c>
      <c r="B252" s="11" t="s">
        <v>91</v>
      </c>
      <c r="C252" s="11" t="s">
        <v>19</v>
      </c>
      <c r="D252" s="11" t="s">
        <v>363</v>
      </c>
      <c r="E252" s="11" t="s">
        <v>49</v>
      </c>
      <c r="F252" s="17">
        <v>8800100</v>
      </c>
      <c r="G252" s="17">
        <v>2751298.54</v>
      </c>
      <c r="H252" s="32"/>
      <c r="I252" s="33"/>
    </row>
    <row r="253" spans="1:9" ht="56.25">
      <c r="A253" s="4" t="s">
        <v>404</v>
      </c>
      <c r="B253" s="11" t="s">
        <v>91</v>
      </c>
      <c r="C253" s="11" t="s">
        <v>19</v>
      </c>
      <c r="D253" s="11" t="s">
        <v>364</v>
      </c>
      <c r="E253" s="11" t="s">
        <v>11</v>
      </c>
      <c r="F253" s="17">
        <f>F254</f>
        <v>15899000</v>
      </c>
      <c r="G253" s="17">
        <f>G254</f>
        <v>14715269.53</v>
      </c>
      <c r="H253" s="32"/>
      <c r="I253" s="33"/>
    </row>
    <row r="254" spans="1:9" ht="15.75" customHeight="1">
      <c r="A254" s="4" t="s">
        <v>48</v>
      </c>
      <c r="B254" s="11" t="s">
        <v>91</v>
      </c>
      <c r="C254" s="11" t="s">
        <v>19</v>
      </c>
      <c r="D254" s="11" t="s">
        <v>364</v>
      </c>
      <c r="E254" s="11" t="s">
        <v>49</v>
      </c>
      <c r="F254" s="17">
        <v>15899000</v>
      </c>
      <c r="G254" s="17">
        <v>14715269.53</v>
      </c>
      <c r="H254" s="32"/>
      <c r="I254" s="33"/>
    </row>
    <row r="255" spans="1:9" ht="54.75" customHeight="1">
      <c r="A255" s="4" t="s">
        <v>175</v>
      </c>
      <c r="B255" s="11" t="s">
        <v>91</v>
      </c>
      <c r="C255" s="11" t="s">
        <v>19</v>
      </c>
      <c r="D255" s="11" t="s">
        <v>365</v>
      </c>
      <c r="E255" s="11" t="s">
        <v>11</v>
      </c>
      <c r="F255" s="17">
        <f>F256</f>
        <v>276976.16</v>
      </c>
      <c r="G255" s="17">
        <f>G256</f>
        <v>88565.87</v>
      </c>
      <c r="H255" s="32"/>
      <c r="I255" s="33"/>
    </row>
    <row r="256" spans="1:9" ht="15.75" customHeight="1">
      <c r="A256" s="4" t="s">
        <v>48</v>
      </c>
      <c r="B256" s="11" t="s">
        <v>91</v>
      </c>
      <c r="C256" s="11" t="s">
        <v>19</v>
      </c>
      <c r="D256" s="11" t="s">
        <v>365</v>
      </c>
      <c r="E256" s="11" t="s">
        <v>49</v>
      </c>
      <c r="F256" s="17">
        <v>276976.16</v>
      </c>
      <c r="G256" s="17">
        <v>88565.87</v>
      </c>
      <c r="H256" s="32"/>
      <c r="I256" s="33"/>
    </row>
    <row r="257" spans="1:9" ht="45">
      <c r="A257" s="4" t="s">
        <v>177</v>
      </c>
      <c r="B257" s="11" t="s">
        <v>91</v>
      </c>
      <c r="C257" s="11" t="s">
        <v>19</v>
      </c>
      <c r="D257" s="11" t="s">
        <v>366</v>
      </c>
      <c r="E257" s="11" t="s">
        <v>11</v>
      </c>
      <c r="F257" s="17">
        <f>F258</f>
        <v>2936100</v>
      </c>
      <c r="G257" s="17">
        <f>G258</f>
        <v>1868090.7</v>
      </c>
      <c r="H257" s="41"/>
      <c r="I257" s="33"/>
    </row>
    <row r="258" spans="1:9" ht="12.75">
      <c r="A258" s="4" t="s">
        <v>48</v>
      </c>
      <c r="B258" s="11" t="s">
        <v>91</v>
      </c>
      <c r="C258" s="11" t="s">
        <v>19</v>
      </c>
      <c r="D258" s="11" t="s">
        <v>366</v>
      </c>
      <c r="E258" s="11" t="s">
        <v>49</v>
      </c>
      <c r="F258" s="17">
        <v>2936100</v>
      </c>
      <c r="G258" s="17">
        <v>1868090.7</v>
      </c>
      <c r="H258" s="41"/>
      <c r="I258" s="31"/>
    </row>
    <row r="259" spans="1:9" ht="90">
      <c r="A259" s="4" t="s">
        <v>180</v>
      </c>
      <c r="B259" s="11" t="s">
        <v>91</v>
      </c>
      <c r="C259" s="11" t="s">
        <v>19</v>
      </c>
      <c r="D259" s="11" t="s">
        <v>178</v>
      </c>
      <c r="E259" s="11" t="s">
        <v>11</v>
      </c>
      <c r="F259" s="17">
        <f>F260</f>
        <v>732360</v>
      </c>
      <c r="G259" s="17">
        <f>G260</f>
        <v>466444.23</v>
      </c>
      <c r="H259" s="41"/>
      <c r="I259" s="31"/>
    </row>
    <row r="260" spans="1:9" ht="12.75">
      <c r="A260" s="4" t="s">
        <v>48</v>
      </c>
      <c r="B260" s="11" t="s">
        <v>91</v>
      </c>
      <c r="C260" s="11" t="s">
        <v>19</v>
      </c>
      <c r="D260" s="11" t="s">
        <v>178</v>
      </c>
      <c r="E260" s="11" t="s">
        <v>101</v>
      </c>
      <c r="F260" s="17">
        <v>732360</v>
      </c>
      <c r="G260" s="17">
        <v>466444.23</v>
      </c>
      <c r="H260" s="41"/>
      <c r="I260" s="31"/>
    </row>
    <row r="261" spans="1:9" ht="45">
      <c r="A261" s="4" t="s">
        <v>181</v>
      </c>
      <c r="B261" s="11" t="s">
        <v>91</v>
      </c>
      <c r="C261" s="11" t="s">
        <v>19</v>
      </c>
      <c r="D261" s="11" t="s">
        <v>100</v>
      </c>
      <c r="E261" s="11" t="s">
        <v>11</v>
      </c>
      <c r="F261" s="17">
        <f>F262</f>
        <v>1584100</v>
      </c>
      <c r="G261" s="17">
        <f>G262</f>
        <v>1048875</v>
      </c>
      <c r="H261" s="41"/>
      <c r="I261" s="31"/>
    </row>
    <row r="262" spans="1:9" ht="12.75">
      <c r="A262" s="4" t="s">
        <v>48</v>
      </c>
      <c r="B262" s="11" t="s">
        <v>91</v>
      </c>
      <c r="C262" s="11" t="s">
        <v>19</v>
      </c>
      <c r="D262" s="11" t="s">
        <v>100</v>
      </c>
      <c r="E262" s="11" t="s">
        <v>101</v>
      </c>
      <c r="F262" s="17">
        <v>1584100</v>
      </c>
      <c r="G262" s="17">
        <v>1048875</v>
      </c>
      <c r="H262" s="41"/>
      <c r="I262" s="31"/>
    </row>
    <row r="263" spans="1:9" ht="33.75">
      <c r="A263" s="4" t="s">
        <v>281</v>
      </c>
      <c r="B263" s="11" t="s">
        <v>91</v>
      </c>
      <c r="C263" s="11" t="s">
        <v>19</v>
      </c>
      <c r="D263" s="11" t="s">
        <v>282</v>
      </c>
      <c r="E263" s="11" t="s">
        <v>11</v>
      </c>
      <c r="F263" s="17">
        <f>F264</f>
        <v>10973700</v>
      </c>
      <c r="G263" s="17">
        <f>G264</f>
        <v>4414500</v>
      </c>
      <c r="H263" s="41"/>
      <c r="I263" s="31"/>
    </row>
    <row r="264" spans="1:9" ht="12.75">
      <c r="A264" s="4" t="s">
        <v>48</v>
      </c>
      <c r="B264" s="11" t="s">
        <v>91</v>
      </c>
      <c r="C264" s="11" t="s">
        <v>19</v>
      </c>
      <c r="D264" s="11" t="s">
        <v>282</v>
      </c>
      <c r="E264" s="11" t="s">
        <v>49</v>
      </c>
      <c r="F264" s="17">
        <v>10973700</v>
      </c>
      <c r="G264" s="17">
        <v>4414500</v>
      </c>
      <c r="H264" s="41"/>
      <c r="I264" s="31"/>
    </row>
    <row r="265" spans="1:9" s="14" customFormat="1" ht="56.25">
      <c r="A265" s="28" t="s">
        <v>438</v>
      </c>
      <c r="B265" s="51" t="s">
        <v>91</v>
      </c>
      <c r="C265" s="51" t="s">
        <v>19</v>
      </c>
      <c r="D265" s="51" t="s">
        <v>430</v>
      </c>
      <c r="E265" s="51" t="s">
        <v>11</v>
      </c>
      <c r="F265" s="19">
        <f>F266</f>
        <v>26400</v>
      </c>
      <c r="G265" s="19">
        <f>G266</f>
        <v>0</v>
      </c>
      <c r="H265" s="41"/>
      <c r="I265" s="31"/>
    </row>
    <row r="266" spans="1:9" s="14" customFormat="1" ht="12.75">
      <c r="A266" s="28" t="s">
        <v>48</v>
      </c>
      <c r="B266" s="51" t="s">
        <v>91</v>
      </c>
      <c r="C266" s="51" t="s">
        <v>19</v>
      </c>
      <c r="D266" s="51" t="s">
        <v>430</v>
      </c>
      <c r="E266" s="51" t="s">
        <v>49</v>
      </c>
      <c r="F266" s="19">
        <v>26400</v>
      </c>
      <c r="G266" s="19"/>
      <c r="H266" s="41"/>
      <c r="I266" s="31"/>
    </row>
    <row r="267" spans="1:9" ht="22.5">
      <c r="A267" s="4" t="s">
        <v>405</v>
      </c>
      <c r="B267" s="11" t="s">
        <v>91</v>
      </c>
      <c r="C267" s="11" t="s">
        <v>19</v>
      </c>
      <c r="D267" s="11" t="s">
        <v>107</v>
      </c>
      <c r="E267" s="11" t="s">
        <v>11</v>
      </c>
      <c r="F267" s="17">
        <f>F268</f>
        <v>19992000</v>
      </c>
      <c r="G267" s="17">
        <f>G268</f>
        <v>10522939.25</v>
      </c>
      <c r="H267" s="41"/>
      <c r="I267" s="31"/>
    </row>
    <row r="268" spans="1:9" ht="12.75">
      <c r="A268" s="4" t="s">
        <v>48</v>
      </c>
      <c r="B268" s="11" t="s">
        <v>91</v>
      </c>
      <c r="C268" s="11" t="s">
        <v>19</v>
      </c>
      <c r="D268" s="11" t="s">
        <v>107</v>
      </c>
      <c r="E268" s="11" t="s">
        <v>49</v>
      </c>
      <c r="F268" s="17">
        <v>19992000</v>
      </c>
      <c r="G268" s="17">
        <v>10522939.25</v>
      </c>
      <c r="H268" s="41"/>
      <c r="I268" s="31"/>
    </row>
    <row r="269" spans="1:9" s="14" customFormat="1" ht="45">
      <c r="A269" s="28" t="s">
        <v>439</v>
      </c>
      <c r="B269" s="51" t="s">
        <v>91</v>
      </c>
      <c r="C269" s="51" t="s">
        <v>19</v>
      </c>
      <c r="D269" s="51" t="s">
        <v>109</v>
      </c>
      <c r="E269" s="51" t="s">
        <v>11</v>
      </c>
      <c r="F269" s="19">
        <f>F270</f>
        <v>0.01</v>
      </c>
      <c r="G269" s="19">
        <f>G270</f>
        <v>0</v>
      </c>
      <c r="H269" s="41"/>
      <c r="I269" s="31"/>
    </row>
    <row r="270" spans="1:9" s="14" customFormat="1" ht="12.75">
      <c r="A270" s="28" t="s">
        <v>48</v>
      </c>
      <c r="B270" s="51" t="s">
        <v>91</v>
      </c>
      <c r="C270" s="51" t="s">
        <v>19</v>
      </c>
      <c r="D270" s="51" t="s">
        <v>109</v>
      </c>
      <c r="E270" s="51" t="s">
        <v>49</v>
      </c>
      <c r="F270" s="19">
        <v>0.01</v>
      </c>
      <c r="G270" s="19"/>
      <c r="H270" s="41"/>
      <c r="I270" s="31"/>
    </row>
    <row r="271" spans="1:9" ht="33.75">
      <c r="A271" s="4" t="s">
        <v>406</v>
      </c>
      <c r="B271" s="11" t="s">
        <v>91</v>
      </c>
      <c r="C271" s="11" t="s">
        <v>19</v>
      </c>
      <c r="D271" s="11" t="s">
        <v>252</v>
      </c>
      <c r="E271" s="11" t="s">
        <v>11</v>
      </c>
      <c r="F271" s="17">
        <f>F272</f>
        <v>9578072.71</v>
      </c>
      <c r="G271" s="17">
        <f>G272</f>
        <v>7725092.4</v>
      </c>
      <c r="H271" s="41"/>
      <c r="I271" s="31"/>
    </row>
    <row r="272" spans="1:9" ht="12.75">
      <c r="A272" s="4" t="s">
        <v>48</v>
      </c>
      <c r="B272" s="11" t="s">
        <v>91</v>
      </c>
      <c r="C272" s="11" t="s">
        <v>19</v>
      </c>
      <c r="D272" s="11" t="s">
        <v>252</v>
      </c>
      <c r="E272" s="11" t="s">
        <v>49</v>
      </c>
      <c r="F272" s="17">
        <v>9578072.71</v>
      </c>
      <c r="G272" s="17">
        <v>7725092.4</v>
      </c>
      <c r="H272" s="41"/>
      <c r="I272" s="31"/>
    </row>
    <row r="273" spans="1:9" ht="22.5">
      <c r="A273" s="4" t="s">
        <v>407</v>
      </c>
      <c r="B273" s="11" t="s">
        <v>91</v>
      </c>
      <c r="C273" s="11" t="s">
        <v>19</v>
      </c>
      <c r="D273" s="11" t="s">
        <v>367</v>
      </c>
      <c r="E273" s="11" t="s">
        <v>11</v>
      </c>
      <c r="F273" s="19">
        <f>F274</f>
        <v>19482700</v>
      </c>
      <c r="G273" s="19">
        <f>G274</f>
        <v>14025603.02</v>
      </c>
      <c r="H273" s="41"/>
      <c r="I273" s="31"/>
    </row>
    <row r="274" spans="1:9" ht="12.75">
      <c r="A274" s="4" t="s">
        <v>48</v>
      </c>
      <c r="B274" s="11" t="s">
        <v>91</v>
      </c>
      <c r="C274" s="11" t="s">
        <v>19</v>
      </c>
      <c r="D274" s="11" t="s">
        <v>367</v>
      </c>
      <c r="E274" s="11" t="s">
        <v>49</v>
      </c>
      <c r="F274" s="19">
        <v>19482700</v>
      </c>
      <c r="G274" s="19">
        <v>14025603.02</v>
      </c>
      <c r="H274" s="41"/>
      <c r="I274" s="31"/>
    </row>
    <row r="275" spans="1:9" ht="27.75" customHeight="1">
      <c r="A275" s="4" t="s">
        <v>408</v>
      </c>
      <c r="B275" s="11" t="s">
        <v>91</v>
      </c>
      <c r="C275" s="11" t="s">
        <v>19</v>
      </c>
      <c r="D275" s="11" t="s">
        <v>368</v>
      </c>
      <c r="E275" s="11" t="s">
        <v>11</v>
      </c>
      <c r="F275" s="19">
        <f>F276</f>
        <v>10146200</v>
      </c>
      <c r="G275" s="19">
        <f>G276</f>
        <v>5736770.62</v>
      </c>
      <c r="H275" s="41"/>
      <c r="I275" s="31"/>
    </row>
    <row r="276" spans="1:9" ht="12.75">
      <c r="A276" s="4" t="s">
        <v>48</v>
      </c>
      <c r="B276" s="11" t="s">
        <v>91</v>
      </c>
      <c r="C276" s="11" t="s">
        <v>19</v>
      </c>
      <c r="D276" s="11" t="s">
        <v>368</v>
      </c>
      <c r="E276" s="11" t="s">
        <v>49</v>
      </c>
      <c r="F276" s="19">
        <v>10146200</v>
      </c>
      <c r="G276" s="19">
        <v>5736770.62</v>
      </c>
      <c r="H276" s="41"/>
      <c r="I276" s="31"/>
    </row>
    <row r="277" spans="1:9" ht="25.5" customHeight="1">
      <c r="A277" s="4" t="s">
        <v>409</v>
      </c>
      <c r="B277" s="11" t="s">
        <v>91</v>
      </c>
      <c r="C277" s="11" t="s">
        <v>19</v>
      </c>
      <c r="D277" s="11" t="s">
        <v>369</v>
      </c>
      <c r="E277" s="11" t="s">
        <v>11</v>
      </c>
      <c r="F277" s="19">
        <f>F278</f>
        <v>18412500</v>
      </c>
      <c r="G277" s="19">
        <f>G278</f>
        <v>5901812.83</v>
      </c>
      <c r="H277" s="41"/>
      <c r="I277" s="31"/>
    </row>
    <row r="278" spans="1:9" s="14" customFormat="1" ht="12.75">
      <c r="A278" s="4" t="s">
        <v>48</v>
      </c>
      <c r="B278" s="51" t="s">
        <v>91</v>
      </c>
      <c r="C278" s="51" t="s">
        <v>19</v>
      </c>
      <c r="D278" s="11" t="s">
        <v>369</v>
      </c>
      <c r="E278" s="51" t="s">
        <v>49</v>
      </c>
      <c r="F278" s="19">
        <v>18412500</v>
      </c>
      <c r="G278" s="19">
        <v>5901812.83</v>
      </c>
      <c r="H278" s="41"/>
      <c r="I278" s="31"/>
    </row>
    <row r="279" spans="1:9" ht="33.75">
      <c r="A279" s="4" t="s">
        <v>410</v>
      </c>
      <c r="B279" s="11" t="s">
        <v>91</v>
      </c>
      <c r="C279" s="11" t="s">
        <v>19</v>
      </c>
      <c r="D279" s="11" t="s">
        <v>370</v>
      </c>
      <c r="E279" s="11" t="s">
        <v>11</v>
      </c>
      <c r="F279" s="19">
        <f>F280</f>
        <v>709800</v>
      </c>
      <c r="G279" s="19">
        <f>G280</f>
        <v>469749.84</v>
      </c>
      <c r="H279" s="41"/>
      <c r="I279" s="31"/>
    </row>
    <row r="280" spans="1:9" ht="12.75">
      <c r="A280" s="4" t="s">
        <v>48</v>
      </c>
      <c r="B280" s="11" t="s">
        <v>91</v>
      </c>
      <c r="C280" s="11" t="s">
        <v>19</v>
      </c>
      <c r="D280" s="11" t="s">
        <v>370</v>
      </c>
      <c r="E280" s="11" t="s">
        <v>49</v>
      </c>
      <c r="F280" s="19">
        <v>709800</v>
      </c>
      <c r="G280" s="19">
        <v>469749.84</v>
      </c>
      <c r="H280" s="41"/>
      <c r="I280" s="31"/>
    </row>
    <row r="281" spans="1:9" ht="45">
      <c r="A281" s="66" t="s">
        <v>411</v>
      </c>
      <c r="B281" s="11" t="s">
        <v>91</v>
      </c>
      <c r="C281" s="11" t="s">
        <v>19</v>
      </c>
      <c r="D281" s="11" t="s">
        <v>371</v>
      </c>
      <c r="E281" s="11" t="s">
        <v>11</v>
      </c>
      <c r="F281" s="19">
        <f>F282</f>
        <v>1716800</v>
      </c>
      <c r="G281" s="19">
        <f>G282</f>
        <v>659280.58</v>
      </c>
      <c r="H281" s="41"/>
      <c r="I281" s="31"/>
    </row>
    <row r="282" spans="1:9" ht="12.75">
      <c r="A282" s="4" t="s">
        <v>48</v>
      </c>
      <c r="B282" s="11" t="s">
        <v>91</v>
      </c>
      <c r="C282" s="11" t="s">
        <v>19</v>
      </c>
      <c r="D282" s="11" t="s">
        <v>371</v>
      </c>
      <c r="E282" s="11" t="s">
        <v>49</v>
      </c>
      <c r="F282" s="19">
        <v>1716800</v>
      </c>
      <c r="G282" s="19">
        <v>659280.58</v>
      </c>
      <c r="H282" s="41"/>
      <c r="I282" s="31"/>
    </row>
    <row r="283" spans="1:9" s="14" customFormat="1" ht="22.5">
      <c r="A283" s="28" t="s">
        <v>440</v>
      </c>
      <c r="B283" s="51" t="s">
        <v>91</v>
      </c>
      <c r="C283" s="51" t="s">
        <v>19</v>
      </c>
      <c r="D283" s="51" t="s">
        <v>431</v>
      </c>
      <c r="E283" s="51" t="s">
        <v>11</v>
      </c>
      <c r="F283" s="19">
        <f>F284</f>
        <v>183600</v>
      </c>
      <c r="G283" s="19">
        <f>G284</f>
        <v>183600</v>
      </c>
      <c r="H283" s="41"/>
      <c r="I283" s="31"/>
    </row>
    <row r="284" spans="1:9" s="14" customFormat="1" ht="22.5">
      <c r="A284" s="28" t="s">
        <v>437</v>
      </c>
      <c r="B284" s="51" t="s">
        <v>91</v>
      </c>
      <c r="C284" s="51" t="s">
        <v>19</v>
      </c>
      <c r="D284" s="51" t="s">
        <v>431</v>
      </c>
      <c r="E284" s="51" t="s">
        <v>432</v>
      </c>
      <c r="F284" s="19">
        <v>183600</v>
      </c>
      <c r="G284" s="19">
        <v>183600</v>
      </c>
      <c r="H284" s="41"/>
      <c r="I284" s="31"/>
    </row>
    <row r="285" spans="1:9" ht="22.5">
      <c r="A285" s="4" t="s">
        <v>240</v>
      </c>
      <c r="B285" s="11" t="s">
        <v>91</v>
      </c>
      <c r="C285" s="11" t="s">
        <v>19</v>
      </c>
      <c r="D285" s="11" t="s">
        <v>110</v>
      </c>
      <c r="E285" s="11" t="s">
        <v>11</v>
      </c>
      <c r="F285" s="19">
        <f>F286</f>
        <v>852000</v>
      </c>
      <c r="G285" s="19">
        <f>G286</f>
        <v>737500</v>
      </c>
      <c r="H285" s="41"/>
      <c r="I285" s="31"/>
    </row>
    <row r="286" spans="1:9" ht="15.75" customHeight="1">
      <c r="A286" s="4" t="s">
        <v>48</v>
      </c>
      <c r="B286" s="11" t="s">
        <v>91</v>
      </c>
      <c r="C286" s="11" t="s">
        <v>19</v>
      </c>
      <c r="D286" s="11" t="s">
        <v>110</v>
      </c>
      <c r="E286" s="11" t="s">
        <v>49</v>
      </c>
      <c r="F286" s="19">
        <v>852000</v>
      </c>
      <c r="G286" s="19">
        <f>717500+20000</f>
        <v>737500</v>
      </c>
      <c r="H286" s="41"/>
      <c r="I286" s="31"/>
    </row>
    <row r="287" spans="1:9" ht="22.5">
      <c r="A287" s="4" t="s">
        <v>240</v>
      </c>
      <c r="B287" s="11" t="s">
        <v>91</v>
      </c>
      <c r="C287" s="11" t="s">
        <v>19</v>
      </c>
      <c r="D287" s="11" t="s">
        <v>110</v>
      </c>
      <c r="E287" s="11" t="s">
        <v>11</v>
      </c>
      <c r="F287" s="19">
        <f>F288</f>
        <v>775400</v>
      </c>
      <c r="G287" s="19">
        <f>G288</f>
        <v>492794</v>
      </c>
      <c r="H287" s="41"/>
      <c r="I287" s="31"/>
    </row>
    <row r="288" spans="1:9" ht="14.25" customHeight="1">
      <c r="A288" s="4" t="s">
        <v>330</v>
      </c>
      <c r="B288" s="11" t="s">
        <v>91</v>
      </c>
      <c r="C288" s="11" t="s">
        <v>19</v>
      </c>
      <c r="D288" s="11" t="s">
        <v>110</v>
      </c>
      <c r="E288" s="11" t="s">
        <v>283</v>
      </c>
      <c r="F288" s="19">
        <v>775400</v>
      </c>
      <c r="G288" s="19">
        <f>231200+261594</f>
        <v>492794</v>
      </c>
      <c r="H288" s="41"/>
      <c r="I288" s="31"/>
    </row>
    <row r="289" spans="1:9" ht="48.75" customHeight="1">
      <c r="A289" s="4" t="s">
        <v>301</v>
      </c>
      <c r="B289" s="11" t="s">
        <v>91</v>
      </c>
      <c r="C289" s="11" t="s">
        <v>19</v>
      </c>
      <c r="D289" s="11" t="s">
        <v>300</v>
      </c>
      <c r="E289" s="11" t="s">
        <v>11</v>
      </c>
      <c r="F289" s="19">
        <f>F290</f>
        <v>14334038</v>
      </c>
      <c r="G289" s="19">
        <f>G290</f>
        <v>12336504</v>
      </c>
      <c r="H289" s="41"/>
      <c r="I289" s="31"/>
    </row>
    <row r="290" spans="1:9" ht="22.5">
      <c r="A290" s="4" t="s">
        <v>240</v>
      </c>
      <c r="B290" s="11" t="s">
        <v>91</v>
      </c>
      <c r="C290" s="11" t="s">
        <v>19</v>
      </c>
      <c r="D290" s="11" t="s">
        <v>300</v>
      </c>
      <c r="E290" s="11" t="s">
        <v>209</v>
      </c>
      <c r="F290" s="19">
        <v>14334038</v>
      </c>
      <c r="G290" s="19">
        <v>12336504</v>
      </c>
      <c r="H290" s="41"/>
      <c r="I290" s="31"/>
    </row>
    <row r="291" spans="1:9" ht="22.5">
      <c r="A291" s="4" t="s">
        <v>331</v>
      </c>
      <c r="B291" s="11" t="s">
        <v>91</v>
      </c>
      <c r="C291" s="11" t="s">
        <v>19</v>
      </c>
      <c r="D291" s="11" t="s">
        <v>315</v>
      </c>
      <c r="E291" s="11" t="s">
        <v>11</v>
      </c>
      <c r="F291" s="19">
        <f>F292</f>
        <v>2741400</v>
      </c>
      <c r="G291" s="19">
        <f>G292</f>
        <v>2741400</v>
      </c>
      <c r="H291" s="41"/>
      <c r="I291" s="31"/>
    </row>
    <row r="292" spans="1:9" ht="22.5">
      <c r="A292" s="4" t="s">
        <v>240</v>
      </c>
      <c r="B292" s="11" t="s">
        <v>91</v>
      </c>
      <c r="C292" s="11" t="s">
        <v>19</v>
      </c>
      <c r="D292" s="11" t="s">
        <v>315</v>
      </c>
      <c r="E292" s="11" t="s">
        <v>209</v>
      </c>
      <c r="F292" s="19">
        <v>2741400</v>
      </c>
      <c r="G292" s="19">
        <v>2741400</v>
      </c>
      <c r="H292" s="41"/>
      <c r="I292" s="31"/>
    </row>
    <row r="293" spans="1:9" ht="22.5">
      <c r="A293" s="4" t="s">
        <v>58</v>
      </c>
      <c r="B293" s="11" t="s">
        <v>91</v>
      </c>
      <c r="C293" s="11" t="s">
        <v>19</v>
      </c>
      <c r="D293" s="11" t="s">
        <v>51</v>
      </c>
      <c r="E293" s="11" t="s">
        <v>11</v>
      </c>
      <c r="F293" s="19">
        <f>F294</f>
        <v>1467902</v>
      </c>
      <c r="G293" s="19">
        <f>G294</f>
        <v>1467902</v>
      </c>
      <c r="H293" s="41"/>
      <c r="I293" s="31"/>
    </row>
    <row r="294" spans="1:9" ht="22.5">
      <c r="A294" s="4" t="s">
        <v>240</v>
      </c>
      <c r="B294" s="11" t="s">
        <v>91</v>
      </c>
      <c r="C294" s="11" t="s">
        <v>19</v>
      </c>
      <c r="D294" s="11" t="s">
        <v>152</v>
      </c>
      <c r="E294" s="11" t="s">
        <v>209</v>
      </c>
      <c r="F294" s="19">
        <v>1467902</v>
      </c>
      <c r="G294" s="19">
        <v>1467902</v>
      </c>
      <c r="H294" s="41"/>
      <c r="I294" s="31"/>
    </row>
    <row r="295" spans="1:9" s="14" customFormat="1" ht="22.5">
      <c r="A295" s="28" t="s">
        <v>58</v>
      </c>
      <c r="B295" s="51" t="s">
        <v>91</v>
      </c>
      <c r="C295" s="51" t="s">
        <v>19</v>
      </c>
      <c r="D295" s="51" t="s">
        <v>51</v>
      </c>
      <c r="E295" s="51" t="s">
        <v>11</v>
      </c>
      <c r="F295" s="19">
        <f>F296</f>
        <v>3000</v>
      </c>
      <c r="G295" s="19">
        <f>G296</f>
        <v>3000</v>
      </c>
      <c r="H295" s="41"/>
      <c r="I295" s="31"/>
    </row>
    <row r="296" spans="1:9" s="14" customFormat="1" ht="22.5">
      <c r="A296" s="28" t="s">
        <v>18</v>
      </c>
      <c r="B296" s="51" t="s">
        <v>91</v>
      </c>
      <c r="C296" s="51" t="s">
        <v>19</v>
      </c>
      <c r="D296" s="51" t="s">
        <v>51</v>
      </c>
      <c r="E296" s="51" t="s">
        <v>154</v>
      </c>
      <c r="F296" s="19">
        <v>3000</v>
      </c>
      <c r="G296" s="19">
        <v>3000</v>
      </c>
      <c r="H296" s="41"/>
      <c r="I296" s="31"/>
    </row>
    <row r="297" spans="1:9" ht="12.75">
      <c r="A297" s="6" t="s">
        <v>112</v>
      </c>
      <c r="B297" s="10" t="s">
        <v>91</v>
      </c>
      <c r="C297" s="10" t="s">
        <v>25</v>
      </c>
      <c r="D297" s="10" t="s">
        <v>8</v>
      </c>
      <c r="E297" s="10" t="s">
        <v>11</v>
      </c>
      <c r="F297" s="21">
        <f>F298+F300+F302+F304</f>
        <v>21174104.15</v>
      </c>
      <c r="G297" s="21">
        <f>G298+G300+G302+G304</f>
        <v>10920554.530000001</v>
      </c>
      <c r="H297" s="41"/>
      <c r="I297" s="31"/>
    </row>
    <row r="298" spans="1:9" ht="78.75" customHeight="1">
      <c r="A298" s="4" t="s">
        <v>242</v>
      </c>
      <c r="B298" s="11" t="s">
        <v>91</v>
      </c>
      <c r="C298" s="11" t="s">
        <v>25</v>
      </c>
      <c r="D298" s="11" t="s">
        <v>372</v>
      </c>
      <c r="E298" s="11" t="s">
        <v>11</v>
      </c>
      <c r="F298" s="17">
        <f>F299</f>
        <v>5041008.51</v>
      </c>
      <c r="G298" s="17">
        <f>G299</f>
        <v>1496814.59</v>
      </c>
      <c r="H298" s="41"/>
      <c r="I298" s="31"/>
    </row>
    <row r="299" spans="1:9" ht="15" customHeight="1">
      <c r="A299" s="4" t="s">
        <v>48</v>
      </c>
      <c r="B299" s="11" t="s">
        <v>91</v>
      </c>
      <c r="C299" s="11" t="s">
        <v>25</v>
      </c>
      <c r="D299" s="11" t="s">
        <v>372</v>
      </c>
      <c r="E299" s="11" t="s">
        <v>49</v>
      </c>
      <c r="F299" s="17">
        <v>5041008.51</v>
      </c>
      <c r="G299" s="17">
        <v>1496814.59</v>
      </c>
      <c r="H299" s="41"/>
      <c r="I299" s="31"/>
    </row>
    <row r="300" spans="1:9" ht="45">
      <c r="A300" s="4" t="s">
        <v>412</v>
      </c>
      <c r="B300" s="11" t="s">
        <v>91</v>
      </c>
      <c r="C300" s="11" t="s">
        <v>25</v>
      </c>
      <c r="D300" s="11" t="s">
        <v>373</v>
      </c>
      <c r="E300" s="11" t="s">
        <v>11</v>
      </c>
      <c r="F300" s="17">
        <f>F301</f>
        <v>4245000</v>
      </c>
      <c r="G300" s="17">
        <f>G301</f>
        <v>929382.13</v>
      </c>
      <c r="H300" s="41"/>
      <c r="I300" s="31"/>
    </row>
    <row r="301" spans="1:9" ht="46.5" customHeight="1">
      <c r="A301" s="4" t="s">
        <v>186</v>
      </c>
      <c r="B301" s="11" t="s">
        <v>91</v>
      </c>
      <c r="C301" s="11" t="s">
        <v>25</v>
      </c>
      <c r="D301" s="11" t="s">
        <v>373</v>
      </c>
      <c r="E301" s="11" t="s">
        <v>185</v>
      </c>
      <c r="F301" s="17">
        <v>4245000</v>
      </c>
      <c r="G301" s="17">
        <v>929382.13</v>
      </c>
      <c r="H301" s="41"/>
      <c r="I301" s="31"/>
    </row>
    <row r="302" spans="1:9" ht="33.75">
      <c r="A302" s="4" t="s">
        <v>413</v>
      </c>
      <c r="B302" s="11" t="s">
        <v>91</v>
      </c>
      <c r="C302" s="11" t="s">
        <v>25</v>
      </c>
      <c r="D302" s="11" t="s">
        <v>374</v>
      </c>
      <c r="E302" s="11" t="s">
        <v>11</v>
      </c>
      <c r="F302" s="17">
        <f>F303</f>
        <v>1981900</v>
      </c>
      <c r="G302" s="17">
        <f>G303</f>
        <v>843808.43</v>
      </c>
      <c r="H302" s="41"/>
      <c r="I302" s="31"/>
    </row>
    <row r="303" spans="1:9" ht="54" customHeight="1">
      <c r="A303" s="4" t="s">
        <v>186</v>
      </c>
      <c r="B303" s="11" t="s">
        <v>91</v>
      </c>
      <c r="C303" s="11" t="s">
        <v>25</v>
      </c>
      <c r="D303" s="11" t="s">
        <v>374</v>
      </c>
      <c r="E303" s="11" t="s">
        <v>185</v>
      </c>
      <c r="F303" s="17">
        <v>1981900</v>
      </c>
      <c r="G303" s="17">
        <v>843808.43</v>
      </c>
      <c r="H303" s="41"/>
      <c r="I303" s="31"/>
    </row>
    <row r="304" spans="1:9" ht="45">
      <c r="A304" s="4" t="s">
        <v>414</v>
      </c>
      <c r="B304" s="11" t="s">
        <v>91</v>
      </c>
      <c r="C304" s="11" t="s">
        <v>25</v>
      </c>
      <c r="D304" s="11" t="s">
        <v>375</v>
      </c>
      <c r="E304" s="11" t="s">
        <v>11</v>
      </c>
      <c r="F304" s="17">
        <f>F305</f>
        <v>9906195.64</v>
      </c>
      <c r="G304" s="17">
        <f>G305</f>
        <v>7650549.38</v>
      </c>
      <c r="H304" s="41"/>
      <c r="I304" s="31"/>
    </row>
    <row r="305" spans="1:9" ht="58.5" customHeight="1">
      <c r="A305" s="4" t="s">
        <v>186</v>
      </c>
      <c r="B305" s="11" t="s">
        <v>91</v>
      </c>
      <c r="C305" s="11" t="s">
        <v>25</v>
      </c>
      <c r="D305" s="11" t="s">
        <v>375</v>
      </c>
      <c r="E305" s="11" t="s">
        <v>185</v>
      </c>
      <c r="F305" s="17">
        <v>9906195.64</v>
      </c>
      <c r="G305" s="17">
        <v>7650549.38</v>
      </c>
      <c r="H305" s="41"/>
      <c r="I305" s="31"/>
    </row>
    <row r="306" spans="1:9" ht="22.5">
      <c r="A306" s="6" t="s">
        <v>111</v>
      </c>
      <c r="B306" s="10" t="s">
        <v>91</v>
      </c>
      <c r="C306" s="10" t="s">
        <v>31</v>
      </c>
      <c r="D306" s="10" t="s">
        <v>8</v>
      </c>
      <c r="E306" s="10" t="s">
        <v>11</v>
      </c>
      <c r="F306" s="21">
        <f>F307+F309+F311+F313</f>
        <v>12377466.09</v>
      </c>
      <c r="G306" s="21">
        <f>G307+G309+G311+G313</f>
        <v>7538789.85</v>
      </c>
      <c r="H306" s="41"/>
      <c r="I306" s="31"/>
    </row>
    <row r="307" spans="1:9" ht="12.75">
      <c r="A307" s="4" t="s">
        <v>20</v>
      </c>
      <c r="B307" s="11" t="s">
        <v>91</v>
      </c>
      <c r="C307" s="11" t="s">
        <v>31</v>
      </c>
      <c r="D307" s="11" t="s">
        <v>125</v>
      </c>
      <c r="E307" s="11" t="s">
        <v>11</v>
      </c>
      <c r="F307" s="17">
        <f>F308</f>
        <v>140800</v>
      </c>
      <c r="G307" s="17">
        <f>G308</f>
        <v>96908.58</v>
      </c>
      <c r="H307" s="40"/>
      <c r="I307" s="34"/>
    </row>
    <row r="308" spans="1:9" ht="22.5">
      <c r="A308" s="4" t="s">
        <v>18</v>
      </c>
      <c r="B308" s="11" t="s">
        <v>91</v>
      </c>
      <c r="C308" s="11" t="s">
        <v>31</v>
      </c>
      <c r="D308" s="11" t="s">
        <v>125</v>
      </c>
      <c r="E308" s="11" t="s">
        <v>154</v>
      </c>
      <c r="F308" s="17">
        <v>140800</v>
      </c>
      <c r="G308" s="17">
        <v>96908.58</v>
      </c>
      <c r="H308" s="41"/>
      <c r="I308" s="31"/>
    </row>
    <row r="309" spans="1:9" ht="24" customHeight="1">
      <c r="A309" s="4" t="s">
        <v>188</v>
      </c>
      <c r="B309" s="11" t="s">
        <v>91</v>
      </c>
      <c r="C309" s="11" t="s">
        <v>31</v>
      </c>
      <c r="D309" s="11" t="s">
        <v>187</v>
      </c>
      <c r="E309" s="11" t="s">
        <v>11</v>
      </c>
      <c r="F309" s="17">
        <f>F310</f>
        <v>2924891.1</v>
      </c>
      <c r="G309" s="17">
        <f>G310</f>
        <v>1534427.87</v>
      </c>
      <c r="H309" s="41"/>
      <c r="I309" s="31"/>
    </row>
    <row r="310" spans="1:9" ht="22.5">
      <c r="A310" s="4" t="s">
        <v>18</v>
      </c>
      <c r="B310" s="11" t="s">
        <v>91</v>
      </c>
      <c r="C310" s="11" t="s">
        <v>31</v>
      </c>
      <c r="D310" s="11" t="s">
        <v>187</v>
      </c>
      <c r="E310" s="11" t="s">
        <v>154</v>
      </c>
      <c r="F310" s="17">
        <v>2924891.1</v>
      </c>
      <c r="G310" s="17">
        <f>959514+2200+291121+28618.5+20872.64+9571.83+37092.34+125298.1+60139.46</f>
        <v>1534427.87</v>
      </c>
      <c r="H310" s="41"/>
      <c r="I310" s="31"/>
    </row>
    <row r="311" spans="1:9" ht="33.75">
      <c r="A311" s="4" t="s">
        <v>380</v>
      </c>
      <c r="B311" s="11" t="s">
        <v>91</v>
      </c>
      <c r="C311" s="11" t="s">
        <v>31</v>
      </c>
      <c r="D311" s="11" t="s">
        <v>194</v>
      </c>
      <c r="E311" s="11" t="s">
        <v>11</v>
      </c>
      <c r="F311" s="17">
        <f>F312</f>
        <v>7753127.63</v>
      </c>
      <c r="G311" s="17">
        <f>G312</f>
        <v>5063502.51</v>
      </c>
      <c r="H311" s="41"/>
      <c r="I311" s="31"/>
    </row>
    <row r="312" spans="1:9" ht="23.25" customHeight="1">
      <c r="A312" s="4" t="s">
        <v>18</v>
      </c>
      <c r="B312" s="11" t="s">
        <v>91</v>
      </c>
      <c r="C312" s="11" t="s">
        <v>31</v>
      </c>
      <c r="D312" s="11" t="s">
        <v>194</v>
      </c>
      <c r="E312" s="11" t="s">
        <v>154</v>
      </c>
      <c r="F312" s="17">
        <v>7753127.63</v>
      </c>
      <c r="G312" s="17">
        <f>3270055.62+846033.19+118537.46+72483.67+58955.71+101913.8+330+258454.22+336738.84</f>
        <v>5063502.51</v>
      </c>
      <c r="H312" s="41"/>
      <c r="I312" s="31"/>
    </row>
    <row r="313" spans="1:9" ht="45">
      <c r="A313" s="4" t="s">
        <v>415</v>
      </c>
      <c r="B313" s="11" t="s">
        <v>91</v>
      </c>
      <c r="C313" s="11" t="s">
        <v>31</v>
      </c>
      <c r="D313" s="11" t="s">
        <v>376</v>
      </c>
      <c r="E313" s="11" t="s">
        <v>11</v>
      </c>
      <c r="F313" s="17">
        <f>F314</f>
        <v>1558647.36</v>
      </c>
      <c r="G313" s="17">
        <f>G314</f>
        <v>843950.8900000001</v>
      </c>
      <c r="H313" s="41"/>
      <c r="I313" s="31"/>
    </row>
    <row r="314" spans="1:9" ht="22.5">
      <c r="A314" s="4" t="s">
        <v>18</v>
      </c>
      <c r="B314" s="11" t="s">
        <v>91</v>
      </c>
      <c r="C314" s="11" t="s">
        <v>31</v>
      </c>
      <c r="D314" s="11" t="s">
        <v>376</v>
      </c>
      <c r="E314" s="11" t="s">
        <v>154</v>
      </c>
      <c r="F314" s="17">
        <v>1558647.36</v>
      </c>
      <c r="G314" s="17">
        <f>507577.52+151966.14+14001.06+10756.31+4871.98+11748.52+95020+48009.36</f>
        <v>843950.8900000001</v>
      </c>
      <c r="H314" s="41"/>
      <c r="I314" s="31"/>
    </row>
    <row r="315" spans="1:9" ht="12.75">
      <c r="A315" s="7" t="s">
        <v>113</v>
      </c>
      <c r="B315" s="9" t="s">
        <v>114</v>
      </c>
      <c r="C315" s="9" t="s">
        <v>10</v>
      </c>
      <c r="D315" s="9" t="s">
        <v>8</v>
      </c>
      <c r="E315" s="9" t="s">
        <v>11</v>
      </c>
      <c r="F315" s="24">
        <f>F316+F323+F328</f>
        <v>46392014.510000005</v>
      </c>
      <c r="G315" s="24">
        <f>G316+G323+G328</f>
        <v>30301779.51</v>
      </c>
      <c r="H315" s="41"/>
      <c r="I315" s="31"/>
    </row>
    <row r="316" spans="1:9" ht="33.75">
      <c r="A316" s="6" t="s">
        <v>115</v>
      </c>
      <c r="B316" s="10" t="s">
        <v>114</v>
      </c>
      <c r="C316" s="10" t="s">
        <v>9</v>
      </c>
      <c r="D316" s="10" t="s">
        <v>33</v>
      </c>
      <c r="E316" s="10" t="s">
        <v>11</v>
      </c>
      <c r="F316" s="21">
        <f>F317+F319+F321</f>
        <v>15334775.55</v>
      </c>
      <c r="G316" s="21">
        <f>G317+G319+G321</f>
        <v>8910115.55</v>
      </c>
      <c r="H316" s="40"/>
      <c r="I316" s="34"/>
    </row>
    <row r="317" spans="1:9" s="14" customFormat="1" ht="45">
      <c r="A317" s="28" t="s">
        <v>285</v>
      </c>
      <c r="B317" s="51" t="s">
        <v>114</v>
      </c>
      <c r="C317" s="51" t="s">
        <v>9</v>
      </c>
      <c r="D317" s="51" t="s">
        <v>284</v>
      </c>
      <c r="E317" s="51" t="s">
        <v>11</v>
      </c>
      <c r="F317" s="19">
        <f>F318</f>
        <v>13080000</v>
      </c>
      <c r="G317" s="19">
        <f>G318</f>
        <v>7356040</v>
      </c>
      <c r="H317" s="41"/>
      <c r="I317" s="31"/>
    </row>
    <row r="318" spans="1:9" s="14" customFormat="1" ht="11.25" customHeight="1">
      <c r="A318" s="28" t="s">
        <v>116</v>
      </c>
      <c r="B318" s="51" t="s">
        <v>114</v>
      </c>
      <c r="C318" s="51" t="s">
        <v>9</v>
      </c>
      <c r="D318" s="51" t="s">
        <v>284</v>
      </c>
      <c r="E318" s="51" t="s">
        <v>117</v>
      </c>
      <c r="F318" s="19">
        <v>13080000</v>
      </c>
      <c r="G318" s="19">
        <v>7356040</v>
      </c>
      <c r="H318" s="41"/>
      <c r="I318" s="31"/>
    </row>
    <row r="319" spans="1:9" ht="67.5">
      <c r="A319" s="4" t="s">
        <v>289</v>
      </c>
      <c r="B319" s="11" t="s">
        <v>114</v>
      </c>
      <c r="C319" s="11" t="s">
        <v>9</v>
      </c>
      <c r="D319" s="11" t="s">
        <v>288</v>
      </c>
      <c r="E319" s="11" t="s">
        <v>11</v>
      </c>
      <c r="F319" s="17">
        <f>F320</f>
        <v>1597700</v>
      </c>
      <c r="G319" s="17">
        <f>G320</f>
        <v>897000</v>
      </c>
      <c r="H319" s="41"/>
      <c r="I319" s="31"/>
    </row>
    <row r="320" spans="1:9" ht="12.75" customHeight="1">
      <c r="A320" s="4" t="s">
        <v>116</v>
      </c>
      <c r="B320" s="11" t="s">
        <v>114</v>
      </c>
      <c r="C320" s="11" t="s">
        <v>9</v>
      </c>
      <c r="D320" s="11" t="s">
        <v>288</v>
      </c>
      <c r="E320" s="11" t="s">
        <v>117</v>
      </c>
      <c r="F320" s="17">
        <v>1597700</v>
      </c>
      <c r="G320" s="17">
        <v>897000</v>
      </c>
      <c r="H320" s="41"/>
      <c r="I320" s="31"/>
    </row>
    <row r="321" spans="1:9" ht="33.75">
      <c r="A321" s="4" t="s">
        <v>244</v>
      </c>
      <c r="B321" s="11" t="s">
        <v>114</v>
      </c>
      <c r="C321" s="11" t="s">
        <v>9</v>
      </c>
      <c r="D321" s="11" t="s">
        <v>377</v>
      </c>
      <c r="E321" s="11" t="s">
        <v>11</v>
      </c>
      <c r="F321" s="17">
        <f>F322</f>
        <v>657075.55</v>
      </c>
      <c r="G321" s="17">
        <f>G322</f>
        <v>657075.55</v>
      </c>
      <c r="H321" s="41"/>
      <c r="I321" s="31"/>
    </row>
    <row r="322" spans="1:9" ht="12.75" customHeight="1">
      <c r="A322" s="4" t="s">
        <v>245</v>
      </c>
      <c r="B322" s="11" t="s">
        <v>114</v>
      </c>
      <c r="C322" s="11" t="s">
        <v>9</v>
      </c>
      <c r="D322" s="11" t="s">
        <v>377</v>
      </c>
      <c r="E322" s="11" t="s">
        <v>243</v>
      </c>
      <c r="F322" s="17">
        <v>657075.55</v>
      </c>
      <c r="G322" s="17">
        <v>657075.55</v>
      </c>
      <c r="H322" s="41"/>
      <c r="I322" s="31"/>
    </row>
    <row r="323" spans="1:9" ht="45.75" customHeight="1">
      <c r="A323" s="6" t="s">
        <v>249</v>
      </c>
      <c r="B323" s="10" t="s">
        <v>114</v>
      </c>
      <c r="C323" s="10" t="s">
        <v>13</v>
      </c>
      <c r="D323" s="10" t="s">
        <v>8</v>
      </c>
      <c r="E323" s="10" t="s">
        <v>11</v>
      </c>
      <c r="F323" s="21">
        <f>F324+F326</f>
        <v>28394638.96</v>
      </c>
      <c r="G323" s="21">
        <f>G324+G326</f>
        <v>19394638.96</v>
      </c>
      <c r="H323" s="41"/>
      <c r="I323" s="31"/>
    </row>
    <row r="324" spans="1:9" s="14" customFormat="1" ht="67.5">
      <c r="A324" s="55" t="s">
        <v>442</v>
      </c>
      <c r="B324" s="15" t="s">
        <v>114</v>
      </c>
      <c r="C324" s="15" t="s">
        <v>13</v>
      </c>
      <c r="D324" s="15" t="s">
        <v>292</v>
      </c>
      <c r="E324" s="15" t="s">
        <v>11</v>
      </c>
      <c r="F324" s="27">
        <f>F325</f>
        <v>10610652.57</v>
      </c>
      <c r="G324" s="27">
        <f>G325</f>
        <v>10610652.57</v>
      </c>
      <c r="H324" s="41"/>
      <c r="I324" s="31"/>
    </row>
    <row r="325" spans="1:9" s="14" customFormat="1" ht="36.75" customHeight="1">
      <c r="A325" s="28" t="s">
        <v>417</v>
      </c>
      <c r="B325" s="15" t="s">
        <v>114</v>
      </c>
      <c r="C325" s="15" t="s">
        <v>13</v>
      </c>
      <c r="D325" s="15" t="s">
        <v>292</v>
      </c>
      <c r="E325" s="51" t="s">
        <v>378</v>
      </c>
      <c r="F325" s="27">
        <v>10610652.57</v>
      </c>
      <c r="G325" s="27">
        <v>10610652.57</v>
      </c>
      <c r="H325" s="41"/>
      <c r="I325" s="31"/>
    </row>
    <row r="326" spans="1:9" s="14" customFormat="1" ht="67.5">
      <c r="A326" s="28" t="s">
        <v>418</v>
      </c>
      <c r="B326" s="51" t="s">
        <v>114</v>
      </c>
      <c r="C326" s="51" t="s">
        <v>13</v>
      </c>
      <c r="D326" s="51" t="s">
        <v>379</v>
      </c>
      <c r="E326" s="51" t="s">
        <v>11</v>
      </c>
      <c r="F326" s="27">
        <f>F327</f>
        <v>17783986.39</v>
      </c>
      <c r="G326" s="27">
        <f>G327</f>
        <v>8783986.39</v>
      </c>
      <c r="H326" s="41"/>
      <c r="I326" s="31"/>
    </row>
    <row r="327" spans="1:9" s="14" customFormat="1" ht="13.5" customHeight="1">
      <c r="A327" s="28" t="s">
        <v>332</v>
      </c>
      <c r="B327" s="51" t="s">
        <v>114</v>
      </c>
      <c r="C327" s="51" t="s">
        <v>13</v>
      </c>
      <c r="D327" s="51" t="s">
        <v>379</v>
      </c>
      <c r="E327" s="51" t="s">
        <v>210</v>
      </c>
      <c r="F327" s="27">
        <v>17783986.39</v>
      </c>
      <c r="G327" s="27">
        <v>8783986.39</v>
      </c>
      <c r="H327" s="41"/>
      <c r="I327" s="31"/>
    </row>
    <row r="328" spans="1:9" ht="33.75">
      <c r="A328" s="6" t="s">
        <v>118</v>
      </c>
      <c r="B328" s="10" t="s">
        <v>114</v>
      </c>
      <c r="C328" s="10" t="s">
        <v>19</v>
      </c>
      <c r="D328" s="10" t="s">
        <v>8</v>
      </c>
      <c r="E328" s="10" t="s">
        <v>11</v>
      </c>
      <c r="F328" s="21">
        <f>F330+F332</f>
        <v>2662600</v>
      </c>
      <c r="G328" s="21">
        <f>G330+G332</f>
        <v>1997025</v>
      </c>
      <c r="H328" s="40"/>
      <c r="I328" s="34"/>
    </row>
    <row r="329" spans="1:9" ht="37.5" customHeight="1">
      <c r="A329" s="4" t="s">
        <v>419</v>
      </c>
      <c r="B329" s="11" t="s">
        <v>114</v>
      </c>
      <c r="C329" s="11" t="s">
        <v>19</v>
      </c>
      <c r="D329" s="11" t="s">
        <v>120</v>
      </c>
      <c r="E329" s="11" t="s">
        <v>11</v>
      </c>
      <c r="F329" s="17">
        <f>F330</f>
        <v>2181900</v>
      </c>
      <c r="G329" s="17">
        <f>G330</f>
        <v>1636500</v>
      </c>
      <c r="H329" s="32"/>
      <c r="I329" s="33"/>
    </row>
    <row r="330" spans="1:9" ht="12.75">
      <c r="A330" s="4" t="s">
        <v>121</v>
      </c>
      <c r="B330" s="11" t="s">
        <v>114</v>
      </c>
      <c r="C330" s="11" t="s">
        <v>19</v>
      </c>
      <c r="D330" s="11" t="s">
        <v>120</v>
      </c>
      <c r="E330" s="11" t="s">
        <v>122</v>
      </c>
      <c r="F330" s="17">
        <v>2181900</v>
      </c>
      <c r="G330" s="17">
        <v>1636500</v>
      </c>
      <c r="H330" s="32"/>
      <c r="I330" s="33"/>
    </row>
    <row r="331" spans="1:9" ht="22.5">
      <c r="A331" s="4" t="s">
        <v>36</v>
      </c>
      <c r="B331" s="11" t="s">
        <v>114</v>
      </c>
      <c r="C331" s="11" t="s">
        <v>19</v>
      </c>
      <c r="D331" s="11" t="s">
        <v>37</v>
      </c>
      <c r="E331" s="11" t="s">
        <v>11</v>
      </c>
      <c r="F331" s="17">
        <f>F332</f>
        <v>480700</v>
      </c>
      <c r="G331" s="17">
        <f>G332</f>
        <v>360525</v>
      </c>
      <c r="H331" s="32"/>
      <c r="I331" s="33"/>
    </row>
    <row r="332" spans="1:9" ht="11.25" customHeight="1" thickBot="1">
      <c r="A332" s="4" t="s">
        <v>121</v>
      </c>
      <c r="B332" s="11" t="s">
        <v>114</v>
      </c>
      <c r="C332" s="11" t="s">
        <v>19</v>
      </c>
      <c r="D332" s="11" t="s">
        <v>37</v>
      </c>
      <c r="E332" s="11" t="s">
        <v>122</v>
      </c>
      <c r="F332" s="17">
        <f>240350+240350</f>
        <v>480700</v>
      </c>
      <c r="G332" s="17">
        <f>240350+120175</f>
        <v>360525</v>
      </c>
      <c r="H332" s="32"/>
      <c r="I332" s="33"/>
    </row>
    <row r="333" spans="1:9" ht="9" customHeight="1" hidden="1">
      <c r="A333" s="76"/>
      <c r="B333" s="76"/>
      <c r="C333" s="76"/>
      <c r="D333" s="76"/>
      <c r="E333" s="76"/>
      <c r="F333" s="77"/>
      <c r="G333" s="77"/>
      <c r="H333" s="41"/>
      <c r="I333" s="31"/>
    </row>
    <row r="334" spans="1:9" s="53" customFormat="1" ht="13.5" thickBot="1">
      <c r="A334" s="78" t="s">
        <v>2</v>
      </c>
      <c r="B334" s="79"/>
      <c r="C334" s="79"/>
      <c r="D334" s="79"/>
      <c r="E334" s="79"/>
      <c r="F334" s="80">
        <f>F8+F32+F53+F69+F104+F114+F168+F193+F237+F315</f>
        <v>1057030028.4200001</v>
      </c>
      <c r="G334" s="81">
        <f>G8+G32+G53+G69+G104+G114+G168+G193+G237+G315</f>
        <v>723501662.39</v>
      </c>
      <c r="H334" s="38"/>
      <c r="I334" s="39"/>
    </row>
    <row r="335" spans="6:9" ht="12.75">
      <c r="F335" s="23"/>
      <c r="G335" s="41"/>
      <c r="H335" s="41"/>
      <c r="I335" s="31"/>
    </row>
    <row r="336" spans="4:9" s="30" customFormat="1" ht="12.75">
      <c r="D336" s="36"/>
      <c r="F336" s="45"/>
      <c r="G336" s="41"/>
      <c r="H336" s="41"/>
      <c r="I336" s="31"/>
    </row>
    <row r="337" spans="6:9" s="30" customFormat="1" ht="12.75">
      <c r="F337" s="45"/>
      <c r="G337" s="40"/>
      <c r="H337" s="40"/>
      <c r="I337" s="34"/>
    </row>
    <row r="338" spans="6:9" s="30" customFormat="1" ht="12.75">
      <c r="F338" s="45"/>
      <c r="G338" s="41"/>
      <c r="H338" s="41"/>
      <c r="I338" s="31"/>
    </row>
    <row r="339" spans="6:9" s="30" customFormat="1" ht="12.75">
      <c r="F339" s="45"/>
      <c r="G339" s="41"/>
      <c r="H339" s="41"/>
      <c r="I339" s="31"/>
    </row>
    <row r="340" spans="6:9" s="30" customFormat="1" ht="12.75">
      <c r="F340" s="45"/>
      <c r="G340" s="41"/>
      <c r="H340" s="41"/>
      <c r="I340" s="31"/>
    </row>
    <row r="341" spans="6:9" s="30" customFormat="1" ht="12.75">
      <c r="F341" s="45"/>
      <c r="G341" s="41"/>
      <c r="H341" s="41"/>
      <c r="I341" s="31"/>
    </row>
    <row r="342" spans="6:9" s="30" customFormat="1" ht="12.75">
      <c r="F342" s="45"/>
      <c r="G342" s="36"/>
      <c r="H342" s="36"/>
      <c r="I342" s="31"/>
    </row>
    <row r="343" spans="2:9" s="30" customFormat="1" ht="14.25">
      <c r="B343" s="82"/>
      <c r="G343" s="36"/>
      <c r="H343" s="36"/>
      <c r="I343" s="44"/>
    </row>
    <row r="344" spans="7:9" s="30" customFormat="1" ht="12.75">
      <c r="G344" s="36"/>
      <c r="H344" s="36"/>
      <c r="I344" s="36"/>
    </row>
    <row r="345" spans="7:9" s="30" customFormat="1" ht="12.75">
      <c r="G345" s="36"/>
      <c r="H345" s="36"/>
      <c r="I345" s="36"/>
    </row>
    <row r="346" spans="7:9" s="30" customFormat="1" ht="12.75">
      <c r="G346" s="36"/>
      <c r="H346" s="36"/>
      <c r="I346" s="36"/>
    </row>
    <row r="347" spans="7:9" s="30" customFormat="1" ht="12.75">
      <c r="G347" s="36"/>
      <c r="H347" s="36"/>
      <c r="I347" s="36"/>
    </row>
    <row r="348" spans="7:9" s="30" customFormat="1" ht="12.75">
      <c r="G348" s="36"/>
      <c r="H348" s="36"/>
      <c r="I348" s="36"/>
    </row>
    <row r="349" spans="7:9" s="30" customFormat="1" ht="12.75">
      <c r="G349" s="36"/>
      <c r="H349" s="36"/>
      <c r="I349" s="36"/>
    </row>
    <row r="350" spans="7:9" s="30" customFormat="1" ht="12.75">
      <c r="G350" s="36"/>
      <c r="H350" s="36"/>
      <c r="I350" s="36"/>
    </row>
    <row r="351" spans="7:9" s="30" customFormat="1" ht="12.75">
      <c r="G351" s="36"/>
      <c r="H351" s="36"/>
      <c r="I351" s="36"/>
    </row>
    <row r="352" spans="7:9" s="30" customFormat="1" ht="12.75">
      <c r="G352" s="36"/>
      <c r="H352" s="36"/>
      <c r="I352" s="36"/>
    </row>
    <row r="353" spans="7:9" s="30" customFormat="1" ht="12.75">
      <c r="G353" s="36"/>
      <c r="H353" s="36"/>
      <c r="I353" s="36"/>
    </row>
    <row r="354" spans="7:9" s="30" customFormat="1" ht="12.75">
      <c r="G354" s="36"/>
      <c r="H354" s="36"/>
      <c r="I354" s="36"/>
    </row>
    <row r="355" spans="7:9" s="30" customFormat="1" ht="12.75">
      <c r="G355" s="36"/>
      <c r="H355" s="36"/>
      <c r="I355" s="36"/>
    </row>
    <row r="356" spans="7:9" s="30" customFormat="1" ht="12.75">
      <c r="G356" s="36"/>
      <c r="H356" s="36"/>
      <c r="I356" s="36"/>
    </row>
    <row r="357" spans="7:9" s="30" customFormat="1" ht="12.75">
      <c r="G357" s="36"/>
      <c r="H357" s="36"/>
      <c r="I357" s="36"/>
    </row>
    <row r="358" spans="7:9" s="30" customFormat="1" ht="12.75">
      <c r="G358" s="36"/>
      <c r="H358" s="36"/>
      <c r="I358" s="36"/>
    </row>
    <row r="359" spans="7:9" s="30" customFormat="1" ht="12.75">
      <c r="G359" s="36"/>
      <c r="H359" s="36"/>
      <c r="I359" s="36"/>
    </row>
    <row r="360" spans="7:9" s="30" customFormat="1" ht="12.75">
      <c r="G360" s="36"/>
      <c r="H360" s="36"/>
      <c r="I360" s="36"/>
    </row>
    <row r="361" spans="7:9" s="30" customFormat="1" ht="12.75">
      <c r="G361" s="36"/>
      <c r="H361" s="36"/>
      <c r="I361" s="36"/>
    </row>
    <row r="362" spans="7:9" s="30" customFormat="1" ht="12.75">
      <c r="G362" s="36"/>
      <c r="H362" s="36"/>
      <c r="I362" s="36"/>
    </row>
    <row r="363" spans="7:9" s="30" customFormat="1" ht="12.75">
      <c r="G363" s="36"/>
      <c r="H363" s="36"/>
      <c r="I363" s="36"/>
    </row>
    <row r="364" spans="7:9" s="30" customFormat="1" ht="12.75">
      <c r="G364" s="36"/>
      <c r="H364" s="36"/>
      <c r="I364" s="36"/>
    </row>
    <row r="365" spans="7:9" s="30" customFormat="1" ht="12.75">
      <c r="G365" s="36"/>
      <c r="H365" s="36"/>
      <c r="I365" s="36"/>
    </row>
    <row r="366" spans="7:9" s="30" customFormat="1" ht="12.75">
      <c r="G366" s="36"/>
      <c r="H366" s="36"/>
      <c r="I366" s="36"/>
    </row>
    <row r="367" spans="7:9" s="30" customFormat="1" ht="12.75">
      <c r="G367" s="36"/>
      <c r="H367" s="36"/>
      <c r="I367" s="36"/>
    </row>
    <row r="368" spans="7:9" s="30" customFormat="1" ht="12.75">
      <c r="G368" s="36"/>
      <c r="H368" s="36"/>
      <c r="I368" s="36"/>
    </row>
    <row r="369" spans="7:9" s="30" customFormat="1" ht="12.75">
      <c r="G369" s="36"/>
      <c r="H369" s="36"/>
      <c r="I369" s="36"/>
    </row>
    <row r="370" spans="7:9" s="30" customFormat="1" ht="12.75">
      <c r="G370" s="36"/>
      <c r="H370" s="36"/>
      <c r="I370" s="36"/>
    </row>
    <row r="371" spans="7:9" s="30" customFormat="1" ht="12.75">
      <c r="G371" s="36"/>
      <c r="H371" s="36"/>
      <c r="I371" s="36"/>
    </row>
    <row r="372" spans="7:9" s="30" customFormat="1" ht="12.75">
      <c r="G372" s="36"/>
      <c r="H372" s="36"/>
      <c r="I372" s="36"/>
    </row>
    <row r="373" spans="7:9" s="30" customFormat="1" ht="12.75">
      <c r="G373" s="36"/>
      <c r="H373" s="36"/>
      <c r="I373" s="36"/>
    </row>
    <row r="374" spans="7:9" s="30" customFormat="1" ht="12.75">
      <c r="G374" s="36"/>
      <c r="H374" s="36"/>
      <c r="I374" s="36"/>
    </row>
    <row r="375" spans="7:9" s="30" customFormat="1" ht="12.75">
      <c r="G375" s="36"/>
      <c r="H375" s="36"/>
      <c r="I375" s="36"/>
    </row>
    <row r="376" spans="7:9" s="30" customFormat="1" ht="12.75">
      <c r="G376" s="36"/>
      <c r="H376" s="36"/>
      <c r="I376" s="36"/>
    </row>
    <row r="377" spans="7:9" s="30" customFormat="1" ht="12.75">
      <c r="G377" s="36"/>
      <c r="H377" s="36"/>
      <c r="I377" s="36"/>
    </row>
    <row r="378" spans="7:9" s="30" customFormat="1" ht="12.75">
      <c r="G378" s="36"/>
      <c r="H378" s="36"/>
      <c r="I378" s="36"/>
    </row>
    <row r="379" spans="7:9" s="30" customFormat="1" ht="12.75">
      <c r="G379" s="36"/>
      <c r="H379" s="36"/>
      <c r="I379" s="36"/>
    </row>
    <row r="380" spans="7:9" s="30" customFormat="1" ht="12.75">
      <c r="G380" s="36"/>
      <c r="H380" s="36"/>
      <c r="I380" s="36"/>
    </row>
    <row r="381" spans="7:9" s="30" customFormat="1" ht="12.75">
      <c r="G381" s="36"/>
      <c r="H381" s="36"/>
      <c r="I381" s="36"/>
    </row>
    <row r="382" spans="7:9" s="30" customFormat="1" ht="12.75">
      <c r="G382" s="36"/>
      <c r="H382" s="36"/>
      <c r="I382" s="36"/>
    </row>
    <row r="383" spans="7:9" s="30" customFormat="1" ht="12.75">
      <c r="G383" s="36"/>
      <c r="H383" s="36"/>
      <c r="I383" s="36"/>
    </row>
    <row r="384" spans="7:9" s="30" customFormat="1" ht="12.75">
      <c r="G384" s="36"/>
      <c r="H384" s="36"/>
      <c r="I384" s="36"/>
    </row>
    <row r="385" spans="7:9" s="30" customFormat="1" ht="12.75">
      <c r="G385" s="36"/>
      <c r="H385" s="36"/>
      <c r="I385" s="36"/>
    </row>
    <row r="386" spans="7:9" s="30" customFormat="1" ht="12.75">
      <c r="G386" s="36"/>
      <c r="H386" s="36"/>
      <c r="I386" s="36"/>
    </row>
    <row r="387" spans="7:9" s="30" customFormat="1" ht="12.75">
      <c r="G387" s="36"/>
      <c r="H387" s="36"/>
      <c r="I387" s="36"/>
    </row>
    <row r="388" spans="7:9" s="30" customFormat="1" ht="12.75">
      <c r="G388" s="36"/>
      <c r="H388" s="36"/>
      <c r="I388" s="36"/>
    </row>
    <row r="389" spans="7:9" s="30" customFormat="1" ht="12.75">
      <c r="G389" s="36"/>
      <c r="H389" s="36"/>
      <c r="I389" s="36"/>
    </row>
    <row r="390" spans="7:9" s="30" customFormat="1" ht="12.75">
      <c r="G390" s="36"/>
      <c r="H390" s="36"/>
      <c r="I390" s="36"/>
    </row>
    <row r="391" spans="7:9" s="30" customFormat="1" ht="12.75">
      <c r="G391" s="36"/>
      <c r="H391" s="36"/>
      <c r="I391" s="36"/>
    </row>
    <row r="392" spans="7:9" s="30" customFormat="1" ht="12.75">
      <c r="G392" s="36"/>
      <c r="H392" s="36"/>
      <c r="I392" s="36"/>
    </row>
    <row r="393" spans="7:9" s="30" customFormat="1" ht="12.75">
      <c r="G393" s="36"/>
      <c r="H393" s="36"/>
      <c r="I393" s="36"/>
    </row>
    <row r="394" spans="7:9" s="30" customFormat="1" ht="12.75">
      <c r="G394" s="36"/>
      <c r="H394" s="36"/>
      <c r="I394" s="36"/>
    </row>
    <row r="395" spans="7:9" s="30" customFormat="1" ht="12.75">
      <c r="G395" s="36"/>
      <c r="H395" s="36"/>
      <c r="I395" s="36"/>
    </row>
    <row r="396" spans="7:9" s="30" customFormat="1" ht="12.75">
      <c r="G396" s="36"/>
      <c r="H396" s="36"/>
      <c r="I396" s="36"/>
    </row>
    <row r="397" spans="7:9" s="30" customFormat="1" ht="12.75">
      <c r="G397" s="36"/>
      <c r="H397" s="36"/>
      <c r="I397" s="36"/>
    </row>
    <row r="398" spans="7:9" s="30" customFormat="1" ht="12.75">
      <c r="G398" s="36"/>
      <c r="H398" s="36"/>
      <c r="I398" s="36"/>
    </row>
    <row r="399" spans="7:9" s="30" customFormat="1" ht="12.75">
      <c r="G399" s="36"/>
      <c r="H399" s="36"/>
      <c r="I399" s="36"/>
    </row>
    <row r="400" spans="7:9" s="30" customFormat="1" ht="12.75">
      <c r="G400" s="36"/>
      <c r="H400" s="36"/>
      <c r="I400" s="36"/>
    </row>
    <row r="401" spans="7:9" s="30" customFormat="1" ht="12.75">
      <c r="G401" s="36"/>
      <c r="H401" s="36"/>
      <c r="I401" s="36"/>
    </row>
    <row r="402" spans="7:9" s="30" customFormat="1" ht="12.75">
      <c r="G402" s="36"/>
      <c r="H402" s="36"/>
      <c r="I402" s="36"/>
    </row>
    <row r="403" spans="7:9" s="30" customFormat="1" ht="12.75">
      <c r="G403" s="36"/>
      <c r="H403" s="36"/>
      <c r="I403" s="36"/>
    </row>
    <row r="404" spans="7:9" s="30" customFormat="1" ht="12.75">
      <c r="G404" s="36"/>
      <c r="H404" s="36"/>
      <c r="I404" s="36"/>
    </row>
    <row r="405" spans="7:9" s="30" customFormat="1" ht="12.75">
      <c r="G405" s="36"/>
      <c r="H405" s="36"/>
      <c r="I405" s="36"/>
    </row>
    <row r="406" spans="7:9" s="30" customFormat="1" ht="12.75">
      <c r="G406" s="36"/>
      <c r="H406" s="36"/>
      <c r="I406" s="36"/>
    </row>
    <row r="407" spans="7:9" s="30" customFormat="1" ht="12.75">
      <c r="G407" s="36"/>
      <c r="H407" s="36"/>
      <c r="I407" s="36"/>
    </row>
    <row r="408" spans="7:9" s="30" customFormat="1" ht="12.75">
      <c r="G408" s="36"/>
      <c r="H408" s="36"/>
      <c r="I408" s="36"/>
    </row>
    <row r="409" spans="7:9" s="30" customFormat="1" ht="12.75">
      <c r="G409" s="36"/>
      <c r="H409" s="36"/>
      <c r="I409" s="36"/>
    </row>
    <row r="410" spans="7:9" s="30" customFormat="1" ht="12.75">
      <c r="G410" s="36"/>
      <c r="H410" s="36"/>
      <c r="I410" s="36"/>
    </row>
    <row r="411" spans="7:9" s="30" customFormat="1" ht="12.75">
      <c r="G411" s="36"/>
      <c r="H411" s="36"/>
      <c r="I411" s="36"/>
    </row>
    <row r="412" spans="7:9" s="30" customFormat="1" ht="12.75">
      <c r="G412" s="36"/>
      <c r="H412" s="36"/>
      <c r="I412" s="36"/>
    </row>
    <row r="413" spans="7:9" s="30" customFormat="1" ht="12.75">
      <c r="G413" s="36"/>
      <c r="H413" s="36"/>
      <c r="I413" s="36"/>
    </row>
    <row r="414" spans="7:9" s="30" customFormat="1" ht="12.75">
      <c r="G414" s="36"/>
      <c r="H414" s="36"/>
      <c r="I414" s="36"/>
    </row>
    <row r="415" spans="7:9" s="30" customFormat="1" ht="12.75">
      <c r="G415" s="36"/>
      <c r="H415" s="36"/>
      <c r="I415" s="36"/>
    </row>
    <row r="416" spans="7:9" s="30" customFormat="1" ht="12.75">
      <c r="G416" s="36"/>
      <c r="H416" s="36"/>
      <c r="I416" s="36"/>
    </row>
    <row r="417" spans="7:9" s="30" customFormat="1" ht="12.75">
      <c r="G417" s="36"/>
      <c r="H417" s="36"/>
      <c r="I417" s="36"/>
    </row>
    <row r="418" spans="7:9" s="30" customFormat="1" ht="12.75">
      <c r="G418" s="36"/>
      <c r="H418" s="36"/>
      <c r="I418" s="36"/>
    </row>
    <row r="419" spans="7:9" s="30" customFormat="1" ht="12.75">
      <c r="G419" s="36"/>
      <c r="H419" s="36"/>
      <c r="I419" s="36"/>
    </row>
    <row r="420" spans="7:9" s="30" customFormat="1" ht="12.75">
      <c r="G420" s="36"/>
      <c r="H420" s="36"/>
      <c r="I420" s="36"/>
    </row>
    <row r="421" spans="7:9" s="30" customFormat="1" ht="12.75">
      <c r="G421" s="36"/>
      <c r="H421" s="36"/>
      <c r="I421" s="36"/>
    </row>
    <row r="422" spans="7:9" s="30" customFormat="1" ht="12.75">
      <c r="G422" s="36"/>
      <c r="H422" s="36"/>
      <c r="I422" s="36"/>
    </row>
    <row r="423" spans="7:9" s="30" customFormat="1" ht="12.75">
      <c r="G423" s="36"/>
      <c r="H423" s="36"/>
      <c r="I423" s="36"/>
    </row>
    <row r="424" spans="7:9" s="30" customFormat="1" ht="12.75">
      <c r="G424" s="36"/>
      <c r="H424" s="36"/>
      <c r="I424" s="36"/>
    </row>
    <row r="425" spans="7:9" s="30" customFormat="1" ht="12.75">
      <c r="G425" s="36"/>
      <c r="H425" s="36"/>
      <c r="I425" s="36"/>
    </row>
    <row r="426" spans="7:9" s="30" customFormat="1" ht="12.75">
      <c r="G426" s="36"/>
      <c r="H426" s="36"/>
      <c r="I426" s="36"/>
    </row>
    <row r="427" spans="7:9" s="30" customFormat="1" ht="12.75">
      <c r="G427" s="36"/>
      <c r="H427" s="36"/>
      <c r="I427" s="36"/>
    </row>
    <row r="428" spans="7:9" s="30" customFormat="1" ht="12.75">
      <c r="G428" s="36"/>
      <c r="H428" s="36"/>
      <c r="I428" s="36"/>
    </row>
    <row r="429" spans="7:9" s="30" customFormat="1" ht="12.75">
      <c r="G429" s="36"/>
      <c r="H429" s="36"/>
      <c r="I429" s="36"/>
    </row>
    <row r="430" spans="7:9" s="30" customFormat="1" ht="12.75">
      <c r="G430" s="36"/>
      <c r="H430" s="36"/>
      <c r="I430" s="36"/>
    </row>
    <row r="431" spans="7:9" s="30" customFormat="1" ht="12.75">
      <c r="G431" s="36"/>
      <c r="H431" s="36"/>
      <c r="I431" s="36"/>
    </row>
    <row r="432" spans="7:9" s="30" customFormat="1" ht="12.75">
      <c r="G432" s="36"/>
      <c r="H432" s="36"/>
      <c r="I432" s="36"/>
    </row>
    <row r="433" spans="7:9" s="30" customFormat="1" ht="12.75">
      <c r="G433" s="36"/>
      <c r="H433" s="36"/>
      <c r="I433" s="36"/>
    </row>
    <row r="434" spans="7:9" s="30" customFormat="1" ht="12.75">
      <c r="G434" s="36"/>
      <c r="H434" s="36"/>
      <c r="I434" s="36"/>
    </row>
    <row r="435" spans="7:9" s="30" customFormat="1" ht="12.75">
      <c r="G435" s="36"/>
      <c r="H435" s="36"/>
      <c r="I435" s="36"/>
    </row>
    <row r="436" spans="7:9" s="30" customFormat="1" ht="12.75">
      <c r="G436" s="36"/>
      <c r="H436" s="36"/>
      <c r="I436" s="36"/>
    </row>
    <row r="437" spans="7:9" s="30" customFormat="1" ht="12.75">
      <c r="G437" s="36"/>
      <c r="H437" s="36"/>
      <c r="I437" s="36"/>
    </row>
    <row r="438" spans="7:9" s="30" customFormat="1" ht="12.75">
      <c r="G438" s="36"/>
      <c r="H438" s="36"/>
      <c r="I438" s="36"/>
    </row>
    <row r="439" spans="7:9" s="30" customFormat="1" ht="12.75">
      <c r="G439" s="36"/>
      <c r="H439" s="36"/>
      <c r="I439" s="36"/>
    </row>
    <row r="440" spans="7:9" s="30" customFormat="1" ht="12.75">
      <c r="G440" s="36"/>
      <c r="H440" s="36"/>
      <c r="I440" s="36"/>
    </row>
    <row r="441" spans="7:9" s="30" customFormat="1" ht="12.75">
      <c r="G441" s="36"/>
      <c r="H441" s="36"/>
      <c r="I441" s="36"/>
    </row>
    <row r="442" spans="7:9" s="30" customFormat="1" ht="12.75">
      <c r="G442" s="36"/>
      <c r="H442" s="36"/>
      <c r="I442" s="36"/>
    </row>
    <row r="443" spans="7:9" s="30" customFormat="1" ht="12.75">
      <c r="G443" s="36"/>
      <c r="H443" s="36"/>
      <c r="I443" s="36"/>
    </row>
    <row r="444" spans="7:9" s="30" customFormat="1" ht="12.75">
      <c r="G444" s="36"/>
      <c r="H444" s="36"/>
      <c r="I444" s="36"/>
    </row>
    <row r="445" spans="7:9" s="30" customFormat="1" ht="12.75">
      <c r="G445" s="36"/>
      <c r="H445" s="36"/>
      <c r="I445" s="36"/>
    </row>
    <row r="446" spans="7:9" s="30" customFormat="1" ht="12.75">
      <c r="G446" s="36"/>
      <c r="H446" s="36"/>
      <c r="I446" s="36"/>
    </row>
    <row r="447" spans="7:9" s="30" customFormat="1" ht="12.75">
      <c r="G447" s="36"/>
      <c r="H447" s="36"/>
      <c r="I447" s="36"/>
    </row>
    <row r="448" spans="7:9" s="30" customFormat="1" ht="12.75">
      <c r="G448" s="36"/>
      <c r="H448" s="36"/>
      <c r="I448" s="36"/>
    </row>
    <row r="449" spans="7:9" s="30" customFormat="1" ht="12.75">
      <c r="G449" s="36"/>
      <c r="H449" s="36"/>
      <c r="I449" s="36"/>
    </row>
    <row r="450" spans="7:9" s="30" customFormat="1" ht="12.75">
      <c r="G450" s="36"/>
      <c r="H450" s="36"/>
      <c r="I450" s="36"/>
    </row>
    <row r="451" spans="7:9" s="30" customFormat="1" ht="12.75">
      <c r="G451" s="36"/>
      <c r="H451" s="36"/>
      <c r="I451" s="36"/>
    </row>
    <row r="452" spans="7:9" s="30" customFormat="1" ht="12.75">
      <c r="G452" s="36"/>
      <c r="H452" s="36"/>
      <c r="I452" s="36"/>
    </row>
    <row r="453" spans="7:9" s="30" customFormat="1" ht="12.75">
      <c r="G453" s="36"/>
      <c r="H453" s="36"/>
      <c r="I453" s="36"/>
    </row>
    <row r="454" spans="7:9" s="30" customFormat="1" ht="12.75">
      <c r="G454" s="36"/>
      <c r="H454" s="36"/>
      <c r="I454" s="36"/>
    </row>
    <row r="455" spans="7:9" s="30" customFormat="1" ht="12.75">
      <c r="G455" s="36"/>
      <c r="H455" s="36"/>
      <c r="I455" s="36"/>
    </row>
    <row r="456" spans="7:9" s="30" customFormat="1" ht="12.75">
      <c r="G456" s="36"/>
      <c r="H456" s="36"/>
      <c r="I456" s="36"/>
    </row>
    <row r="457" spans="7:9" s="30" customFormat="1" ht="12.75">
      <c r="G457" s="36"/>
      <c r="H457" s="36"/>
      <c r="I457" s="36"/>
    </row>
    <row r="458" spans="7:9" s="30" customFormat="1" ht="12.75">
      <c r="G458" s="36"/>
      <c r="H458" s="36"/>
      <c r="I458" s="36"/>
    </row>
    <row r="459" spans="7:9" s="30" customFormat="1" ht="12.75">
      <c r="G459" s="36"/>
      <c r="H459" s="36"/>
      <c r="I459" s="36"/>
    </row>
    <row r="460" spans="7:9" s="30" customFormat="1" ht="12.75">
      <c r="G460" s="36"/>
      <c r="H460" s="36"/>
      <c r="I460" s="36"/>
    </row>
    <row r="461" spans="7:9" s="30" customFormat="1" ht="12.75">
      <c r="G461" s="36"/>
      <c r="H461" s="36"/>
      <c r="I461" s="36"/>
    </row>
    <row r="462" spans="7:9" s="30" customFormat="1" ht="12.75">
      <c r="G462" s="36"/>
      <c r="H462" s="36"/>
      <c r="I462" s="36"/>
    </row>
    <row r="463" spans="7:9" s="30" customFormat="1" ht="12.75">
      <c r="G463" s="36"/>
      <c r="H463" s="36"/>
      <c r="I463" s="36"/>
    </row>
    <row r="464" spans="7:9" s="30" customFormat="1" ht="12.75">
      <c r="G464" s="36"/>
      <c r="H464" s="36"/>
      <c r="I464" s="36"/>
    </row>
    <row r="465" spans="7:9" s="30" customFormat="1" ht="12.75">
      <c r="G465" s="36"/>
      <c r="H465" s="36"/>
      <c r="I465" s="36"/>
    </row>
    <row r="466" spans="7:9" s="30" customFormat="1" ht="12.75">
      <c r="G466" s="36"/>
      <c r="H466" s="36"/>
      <c r="I466" s="36"/>
    </row>
    <row r="467" spans="7:9" s="30" customFormat="1" ht="12.75">
      <c r="G467" s="36"/>
      <c r="H467" s="36"/>
      <c r="I467" s="36"/>
    </row>
    <row r="468" spans="7:9" s="30" customFormat="1" ht="12.75">
      <c r="G468" s="36"/>
      <c r="H468" s="36"/>
      <c r="I468" s="36"/>
    </row>
    <row r="469" spans="7:9" s="30" customFormat="1" ht="12.75">
      <c r="G469" s="36"/>
      <c r="H469" s="36"/>
      <c r="I469" s="36"/>
    </row>
    <row r="470" spans="7:9" s="30" customFormat="1" ht="12.75">
      <c r="G470" s="36"/>
      <c r="H470" s="36"/>
      <c r="I470" s="36"/>
    </row>
    <row r="471" spans="7:9" s="30" customFormat="1" ht="12.75">
      <c r="G471" s="36"/>
      <c r="H471" s="36"/>
      <c r="I471" s="36"/>
    </row>
    <row r="472" spans="7:9" s="30" customFormat="1" ht="12.75">
      <c r="G472" s="36"/>
      <c r="H472" s="36"/>
      <c r="I472" s="36"/>
    </row>
    <row r="473" spans="7:9" s="30" customFormat="1" ht="12.75">
      <c r="G473" s="36"/>
      <c r="H473" s="36"/>
      <c r="I473" s="36"/>
    </row>
    <row r="474" spans="7:9" s="30" customFormat="1" ht="12.75">
      <c r="G474" s="36"/>
      <c r="H474" s="36"/>
      <c r="I474" s="36"/>
    </row>
    <row r="475" spans="7:9" s="30" customFormat="1" ht="12.75">
      <c r="G475" s="36"/>
      <c r="H475" s="36"/>
      <c r="I475" s="36"/>
    </row>
    <row r="476" spans="7:9" s="30" customFormat="1" ht="12.75">
      <c r="G476" s="36"/>
      <c r="H476" s="36"/>
      <c r="I476" s="36"/>
    </row>
    <row r="477" spans="7:9" s="30" customFormat="1" ht="12.75">
      <c r="G477" s="36"/>
      <c r="H477" s="36"/>
      <c r="I477" s="36"/>
    </row>
    <row r="478" spans="7:9" s="30" customFormat="1" ht="12.75">
      <c r="G478" s="36"/>
      <c r="H478" s="36"/>
      <c r="I478" s="36"/>
    </row>
    <row r="479" spans="7:9" s="30" customFormat="1" ht="12.75">
      <c r="G479" s="36"/>
      <c r="H479" s="36"/>
      <c r="I479" s="36"/>
    </row>
    <row r="480" spans="7:9" s="30" customFormat="1" ht="12.75">
      <c r="G480" s="36"/>
      <c r="H480" s="36"/>
      <c r="I480" s="36"/>
    </row>
    <row r="481" spans="7:9" s="30" customFormat="1" ht="12.75">
      <c r="G481" s="36"/>
      <c r="H481" s="36"/>
      <c r="I481" s="36"/>
    </row>
    <row r="482" spans="7:9" s="30" customFormat="1" ht="12.75">
      <c r="G482" s="36"/>
      <c r="H482" s="36"/>
      <c r="I482" s="36"/>
    </row>
    <row r="483" spans="7:9" s="30" customFormat="1" ht="12.75">
      <c r="G483" s="36"/>
      <c r="H483" s="36"/>
      <c r="I483" s="36"/>
    </row>
    <row r="484" spans="7:9" s="30" customFormat="1" ht="12.75">
      <c r="G484" s="36"/>
      <c r="H484" s="36"/>
      <c r="I484" s="36"/>
    </row>
    <row r="485" spans="7:9" s="30" customFormat="1" ht="12.75">
      <c r="G485" s="36"/>
      <c r="H485" s="36"/>
      <c r="I485" s="36"/>
    </row>
    <row r="486" spans="7:9" s="30" customFormat="1" ht="12.75">
      <c r="G486" s="36"/>
      <c r="H486" s="36"/>
      <c r="I486" s="36"/>
    </row>
    <row r="487" spans="7:9" s="30" customFormat="1" ht="12.75">
      <c r="G487" s="36"/>
      <c r="H487" s="36"/>
      <c r="I487" s="36"/>
    </row>
    <row r="488" spans="7:9" s="30" customFormat="1" ht="12.75">
      <c r="G488" s="36"/>
      <c r="H488" s="36"/>
      <c r="I488" s="36"/>
    </row>
    <row r="489" spans="7:9" s="30" customFormat="1" ht="12.75">
      <c r="G489" s="36"/>
      <c r="H489" s="36"/>
      <c r="I489" s="36"/>
    </row>
    <row r="490" spans="7:9" s="30" customFormat="1" ht="12.75">
      <c r="G490" s="36"/>
      <c r="H490" s="36"/>
      <c r="I490" s="36"/>
    </row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  <row r="1056" s="30" customFormat="1" ht="12.75"/>
    <row r="1057" s="30" customFormat="1" ht="12.75"/>
    <row r="1058" s="30" customFormat="1" ht="12.75"/>
    <row r="1059" s="30" customFormat="1" ht="12.75"/>
    <row r="1060" s="30" customFormat="1" ht="12.75"/>
    <row r="1061" s="30" customFormat="1" ht="12.75"/>
    <row r="1062" s="30" customFormat="1" ht="12.75"/>
    <row r="1063" s="30" customFormat="1" ht="12.75"/>
    <row r="1064" s="30" customFormat="1" ht="12.75"/>
    <row r="1065" s="30" customFormat="1" ht="12.75"/>
    <row r="1066" s="30" customFormat="1" ht="12.75"/>
    <row r="1067" s="30" customFormat="1" ht="12.75"/>
    <row r="1068" s="30" customFormat="1" ht="12.75"/>
    <row r="1069" s="30" customFormat="1" ht="12.75"/>
    <row r="1070" s="30" customFormat="1" ht="12.75"/>
    <row r="1071" s="30" customFormat="1" ht="12.75"/>
    <row r="1072" s="30" customFormat="1" ht="12.75"/>
    <row r="1073" s="30" customFormat="1" ht="12.75"/>
    <row r="1074" s="30" customFormat="1" ht="12.75"/>
    <row r="1075" s="30" customFormat="1" ht="12.75"/>
    <row r="1076" s="30" customFormat="1" ht="12.75"/>
    <row r="1077" s="30" customFormat="1" ht="12.75"/>
    <row r="1078" s="30" customFormat="1" ht="12.75"/>
    <row r="1079" s="30" customFormat="1" ht="12.75"/>
    <row r="1080" s="30" customFormat="1" ht="12.75"/>
    <row r="1081" s="30" customFormat="1" ht="12.75"/>
    <row r="1082" s="30" customFormat="1" ht="12.75"/>
    <row r="1083" s="30" customFormat="1" ht="12.75"/>
    <row r="1084" s="30" customFormat="1" ht="12.75"/>
    <row r="1085" s="30" customFormat="1" ht="12.75"/>
    <row r="1086" s="30" customFormat="1" ht="12.75"/>
    <row r="1087" s="30" customFormat="1" ht="12.75"/>
    <row r="1088" s="30" customFormat="1" ht="12.75"/>
    <row r="1089" s="30" customFormat="1" ht="12.75"/>
    <row r="1090" s="30" customFormat="1" ht="12.75"/>
    <row r="1091" s="30" customFormat="1" ht="12.75"/>
    <row r="1092" s="30" customFormat="1" ht="12.75"/>
    <row r="1093" s="30" customFormat="1" ht="12.75"/>
    <row r="1094" s="30" customFormat="1" ht="12.75"/>
    <row r="1095" s="30" customFormat="1" ht="12.75"/>
    <row r="1096" s="30" customFormat="1" ht="12.75"/>
    <row r="1097" s="30" customFormat="1" ht="12.75"/>
    <row r="1098" s="30" customFormat="1" ht="12.75"/>
    <row r="1099" s="30" customFormat="1" ht="12.75"/>
    <row r="1100" s="30" customFormat="1" ht="12.75"/>
    <row r="1101" s="30" customFormat="1" ht="12.75"/>
    <row r="1102" s="30" customFormat="1" ht="12.75"/>
    <row r="1103" s="30" customFormat="1" ht="12.75"/>
    <row r="1104" s="30" customFormat="1" ht="12.75"/>
    <row r="1105" s="30" customFormat="1" ht="12.75"/>
    <row r="1106" s="30" customFormat="1" ht="12.75"/>
    <row r="1107" s="30" customFormat="1" ht="12.75"/>
    <row r="1108" s="30" customFormat="1" ht="12.75"/>
    <row r="1109" s="30" customFormat="1" ht="12.75"/>
    <row r="1110" s="30" customFormat="1" ht="12.75"/>
    <row r="1111" s="30" customFormat="1" ht="12.75"/>
    <row r="1112" s="30" customFormat="1" ht="12.75"/>
    <row r="1113" s="30" customFormat="1" ht="12.75"/>
    <row r="1114" s="30" customFormat="1" ht="12.75"/>
    <row r="1115" s="30" customFormat="1" ht="12.75"/>
    <row r="1116" s="30" customFormat="1" ht="12.75"/>
    <row r="1117" s="30" customFormat="1" ht="12.75"/>
    <row r="1118" s="30" customFormat="1" ht="12.75"/>
    <row r="1119" s="30" customFormat="1" ht="12.75"/>
    <row r="1120" s="30" customFormat="1" ht="12.75"/>
    <row r="1121" s="30" customFormat="1" ht="12.75"/>
    <row r="1122" s="30" customFormat="1" ht="12.75"/>
    <row r="1123" s="30" customFormat="1" ht="12.75"/>
    <row r="1124" s="30" customFormat="1" ht="12.75"/>
    <row r="1125" s="30" customFormat="1" ht="12.75"/>
    <row r="1126" s="30" customFormat="1" ht="12.75"/>
    <row r="1127" s="30" customFormat="1" ht="12.75"/>
    <row r="1128" s="30" customFormat="1" ht="12.75"/>
    <row r="1129" s="30" customFormat="1" ht="12.75"/>
    <row r="1130" s="30" customFormat="1" ht="12.75"/>
    <row r="1131" s="30" customFormat="1" ht="12.75"/>
    <row r="1132" s="30" customFormat="1" ht="12.75"/>
    <row r="1133" s="30" customFormat="1" ht="12.75"/>
    <row r="1134" s="30" customFormat="1" ht="12.75"/>
    <row r="1135" s="30" customFormat="1" ht="12.75"/>
    <row r="1136" s="30" customFormat="1" ht="12.75"/>
    <row r="1137" s="30" customFormat="1" ht="12.75"/>
    <row r="1138" s="30" customFormat="1" ht="12.75"/>
    <row r="1139" s="30" customFormat="1" ht="12.75"/>
    <row r="1140" s="30" customFormat="1" ht="12.75"/>
    <row r="1141" s="30" customFormat="1" ht="12.75"/>
    <row r="1142" s="30" customFormat="1" ht="12.75"/>
    <row r="1143" s="30" customFormat="1" ht="12.75"/>
    <row r="1144" s="30" customFormat="1" ht="12.75"/>
    <row r="1145" s="30" customFormat="1" ht="12.75"/>
    <row r="1146" s="30" customFormat="1" ht="12.75"/>
    <row r="1147" s="30" customFormat="1" ht="12.75"/>
    <row r="1148" s="30" customFormat="1" ht="12.75"/>
    <row r="1149" s="30" customFormat="1" ht="12.75"/>
    <row r="1150" s="30" customFormat="1" ht="12.75"/>
    <row r="1151" s="30" customFormat="1" ht="12.75"/>
    <row r="1152" s="30" customFormat="1" ht="12.75"/>
    <row r="1153" s="30" customFormat="1" ht="12.75"/>
    <row r="1154" s="30" customFormat="1" ht="12.75"/>
    <row r="1155" s="30" customFormat="1" ht="12.75"/>
    <row r="1156" s="30" customFormat="1" ht="12.75"/>
    <row r="1157" s="30" customFormat="1" ht="12.75"/>
    <row r="1158" s="30" customFormat="1" ht="12.75"/>
    <row r="1159" s="30" customFormat="1" ht="12.75"/>
    <row r="1160" s="30" customFormat="1" ht="12.75"/>
  </sheetData>
  <sheetProtection/>
  <mergeCells count="9">
    <mergeCell ref="I5:I6"/>
    <mergeCell ref="D1:F2"/>
    <mergeCell ref="A3:G3"/>
    <mergeCell ref="A4:D4"/>
    <mergeCell ref="E4:F4"/>
    <mergeCell ref="A5:A6"/>
    <mergeCell ref="B5:E5"/>
    <mergeCell ref="F5:F6"/>
    <mergeCell ref="G5:G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2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30.375" style="60" customWidth="1"/>
    <col min="2" max="2" width="7.625" style="60" customWidth="1"/>
    <col min="3" max="3" width="6.875" style="60" customWidth="1"/>
    <col min="4" max="4" width="9.875" style="60" customWidth="1"/>
    <col min="5" max="5" width="6.00390625" style="60" customWidth="1"/>
    <col min="6" max="6" width="17.25390625" style="60" customWidth="1"/>
    <col min="7" max="7" width="9.125" style="60" customWidth="1"/>
    <col min="8" max="8" width="13.875" style="60" customWidth="1"/>
    <col min="9" max="9" width="12.875" style="60" customWidth="1"/>
    <col min="10" max="16384" width="9.125" style="60" customWidth="1"/>
  </cols>
  <sheetData>
    <row r="1" spans="4:6" ht="25.5" customHeight="1" hidden="1">
      <c r="D1" s="142" t="s">
        <v>441</v>
      </c>
      <c r="E1" s="143"/>
      <c r="F1" s="143"/>
    </row>
    <row r="2" spans="4:6" ht="63" customHeight="1">
      <c r="D2" s="143"/>
      <c r="E2" s="143"/>
      <c r="F2" s="143"/>
    </row>
    <row r="3" spans="1:7" ht="28.5" customHeight="1">
      <c r="A3" s="144" t="s">
        <v>257</v>
      </c>
      <c r="B3" s="144"/>
      <c r="C3" s="144"/>
      <c r="D3" s="144"/>
      <c r="E3" s="144"/>
      <c r="F3" s="144"/>
      <c r="G3" s="84"/>
    </row>
    <row r="4" spans="1:6" ht="16.5" customHeight="1">
      <c r="A4" s="145" t="s">
        <v>443</v>
      </c>
      <c r="B4" s="145"/>
      <c r="C4" s="145"/>
      <c r="D4" s="145"/>
      <c r="E4" s="146" t="s">
        <v>251</v>
      </c>
      <c r="F4" s="147"/>
    </row>
    <row r="5" spans="1:8" ht="12.75" customHeight="1">
      <c r="A5" s="148" t="s">
        <v>0</v>
      </c>
      <c r="B5" s="148" t="s">
        <v>1</v>
      </c>
      <c r="C5" s="148"/>
      <c r="D5" s="148"/>
      <c r="E5" s="148"/>
      <c r="F5" s="149" t="s">
        <v>323</v>
      </c>
      <c r="G5" s="87"/>
      <c r="H5" s="141"/>
    </row>
    <row r="6" spans="1:8" ht="35.25" customHeight="1">
      <c r="A6" s="148"/>
      <c r="B6" s="86" t="s">
        <v>4</v>
      </c>
      <c r="C6" s="85" t="s">
        <v>5</v>
      </c>
      <c r="D6" s="85" t="s">
        <v>6</v>
      </c>
      <c r="E6" s="85" t="s">
        <v>7</v>
      </c>
      <c r="F6" s="149"/>
      <c r="G6" s="87"/>
      <c r="H6" s="141"/>
    </row>
    <row r="7" spans="1:8" ht="11.25">
      <c r="A7" s="5" t="s">
        <v>2</v>
      </c>
      <c r="B7" s="88"/>
      <c r="C7" s="88"/>
      <c r="D7" s="88"/>
      <c r="E7" s="88"/>
      <c r="F7" s="89"/>
      <c r="G7" s="90"/>
      <c r="H7" s="91"/>
    </row>
    <row r="8" spans="1:8" ht="11.25">
      <c r="A8" s="5" t="s">
        <v>3</v>
      </c>
      <c r="B8" s="92" t="s">
        <v>9</v>
      </c>
      <c r="C8" s="92" t="s">
        <v>10</v>
      </c>
      <c r="D8" s="92" t="s">
        <v>8</v>
      </c>
      <c r="E8" s="92" t="s">
        <v>11</v>
      </c>
      <c r="F8" s="93">
        <f>F9+F12+F17+F26+F29</f>
        <v>45929708.53</v>
      </c>
      <c r="G8" s="94"/>
      <c r="H8" s="95"/>
    </row>
    <row r="9" spans="1:8" ht="45">
      <c r="A9" s="6" t="s">
        <v>12</v>
      </c>
      <c r="B9" s="96" t="s">
        <v>9</v>
      </c>
      <c r="C9" s="96" t="s">
        <v>13</v>
      </c>
      <c r="D9" s="96" t="s">
        <v>8</v>
      </c>
      <c r="E9" s="96" t="s">
        <v>11</v>
      </c>
      <c r="F9" s="97">
        <f>F10</f>
        <v>1520000</v>
      </c>
      <c r="G9" s="98"/>
      <c r="H9" s="99"/>
    </row>
    <row r="10" spans="1:8" ht="11.25">
      <c r="A10" s="4" t="s">
        <v>16</v>
      </c>
      <c r="B10" s="100" t="s">
        <v>9</v>
      </c>
      <c r="C10" s="100" t="s">
        <v>13</v>
      </c>
      <c r="D10" s="100" t="s">
        <v>17</v>
      </c>
      <c r="E10" s="100" t="s">
        <v>11</v>
      </c>
      <c r="F10" s="101">
        <f>F11</f>
        <v>1520000</v>
      </c>
      <c r="G10" s="102"/>
      <c r="H10" s="103"/>
    </row>
    <row r="11" spans="1:8" ht="22.5">
      <c r="A11" s="4" t="s">
        <v>18</v>
      </c>
      <c r="B11" s="100" t="s">
        <v>9</v>
      </c>
      <c r="C11" s="100" t="s">
        <v>13</v>
      </c>
      <c r="D11" s="100" t="s">
        <v>17</v>
      </c>
      <c r="E11" s="100" t="s">
        <v>154</v>
      </c>
      <c r="F11" s="101">
        <v>1520000</v>
      </c>
      <c r="G11" s="102"/>
      <c r="H11" s="103"/>
    </row>
    <row r="12" spans="1:8" ht="54.75" customHeight="1">
      <c r="A12" s="6" t="s">
        <v>247</v>
      </c>
      <c r="B12" s="96" t="s">
        <v>9</v>
      </c>
      <c r="C12" s="96" t="s">
        <v>19</v>
      </c>
      <c r="D12" s="96" t="s">
        <v>8</v>
      </c>
      <c r="E12" s="96" t="s">
        <v>11</v>
      </c>
      <c r="F12" s="97">
        <f>F13+F15</f>
        <v>3000122.75</v>
      </c>
      <c r="G12" s="98"/>
      <c r="H12" s="99"/>
    </row>
    <row r="13" spans="1:8" ht="11.25">
      <c r="A13" s="4" t="s">
        <v>20</v>
      </c>
      <c r="B13" s="100" t="s">
        <v>9</v>
      </c>
      <c r="C13" s="100" t="s">
        <v>19</v>
      </c>
      <c r="D13" s="100" t="s">
        <v>21</v>
      </c>
      <c r="E13" s="100" t="s">
        <v>11</v>
      </c>
      <c r="F13" s="101">
        <f>F14</f>
        <v>2162922.75</v>
      </c>
      <c r="G13" s="102"/>
      <c r="H13" s="103"/>
    </row>
    <row r="14" spans="1:8" ht="22.5">
      <c r="A14" s="4" t="s">
        <v>18</v>
      </c>
      <c r="B14" s="100" t="s">
        <v>22</v>
      </c>
      <c r="C14" s="100" t="s">
        <v>19</v>
      </c>
      <c r="D14" s="100" t="s">
        <v>21</v>
      </c>
      <c r="E14" s="100" t="s">
        <v>154</v>
      </c>
      <c r="F14" s="101">
        <v>2162922.75</v>
      </c>
      <c r="G14" s="102"/>
      <c r="H14" s="103"/>
    </row>
    <row r="15" spans="1:8" ht="22.5">
      <c r="A15" s="4" t="s">
        <v>191</v>
      </c>
      <c r="B15" s="100" t="s">
        <v>9</v>
      </c>
      <c r="C15" s="100" t="s">
        <v>19</v>
      </c>
      <c r="D15" s="100" t="s">
        <v>155</v>
      </c>
      <c r="E15" s="100" t="s">
        <v>11</v>
      </c>
      <c r="F15" s="101">
        <f>F16</f>
        <v>837200</v>
      </c>
      <c r="G15" s="102"/>
      <c r="H15" s="103"/>
    </row>
    <row r="16" spans="1:8" ht="24.75" customHeight="1">
      <c r="A16" s="4" t="s">
        <v>18</v>
      </c>
      <c r="B16" s="100" t="s">
        <v>9</v>
      </c>
      <c r="C16" s="100" t="s">
        <v>19</v>
      </c>
      <c r="D16" s="100" t="s">
        <v>155</v>
      </c>
      <c r="E16" s="100" t="s">
        <v>154</v>
      </c>
      <c r="F16" s="101">
        <v>837200</v>
      </c>
      <c r="G16" s="102"/>
      <c r="H16" s="103"/>
    </row>
    <row r="17" spans="1:8" ht="54" customHeight="1">
      <c r="A17" s="6" t="s">
        <v>24</v>
      </c>
      <c r="B17" s="96" t="s">
        <v>22</v>
      </c>
      <c r="C17" s="96" t="s">
        <v>25</v>
      </c>
      <c r="D17" s="96" t="s">
        <v>8</v>
      </c>
      <c r="E17" s="96" t="s">
        <v>11</v>
      </c>
      <c r="F17" s="97">
        <f>F18+F20+F22+F24</f>
        <v>29526274.03</v>
      </c>
      <c r="G17" s="98"/>
      <c r="H17" s="99"/>
    </row>
    <row r="18" spans="1:8" ht="11.25">
      <c r="A18" s="4" t="s">
        <v>20</v>
      </c>
      <c r="B18" s="100" t="s">
        <v>9</v>
      </c>
      <c r="C18" s="100" t="s">
        <v>25</v>
      </c>
      <c r="D18" s="100" t="s">
        <v>21</v>
      </c>
      <c r="E18" s="100" t="s">
        <v>11</v>
      </c>
      <c r="F18" s="101">
        <f>F19</f>
        <v>29011874.03</v>
      </c>
      <c r="G18" s="102"/>
      <c r="H18" s="103"/>
    </row>
    <row r="19" spans="1:8" s="105" customFormat="1" ht="22.5">
      <c r="A19" s="28" t="s">
        <v>18</v>
      </c>
      <c r="B19" s="104" t="s">
        <v>9</v>
      </c>
      <c r="C19" s="104" t="s">
        <v>25</v>
      </c>
      <c r="D19" s="104" t="s">
        <v>21</v>
      </c>
      <c r="E19" s="104" t="s">
        <v>154</v>
      </c>
      <c r="F19" s="101">
        <v>29011874.03</v>
      </c>
      <c r="G19" s="102"/>
      <c r="H19" s="103"/>
    </row>
    <row r="20" spans="1:8" s="105" customFormat="1" ht="33.75">
      <c r="A20" s="28" t="s">
        <v>193</v>
      </c>
      <c r="B20" s="104" t="s">
        <v>9</v>
      </c>
      <c r="C20" s="104" t="s">
        <v>25</v>
      </c>
      <c r="D20" s="104" t="s">
        <v>333</v>
      </c>
      <c r="E20" s="104" t="s">
        <v>11</v>
      </c>
      <c r="F20" s="101">
        <f>F21</f>
        <v>228300</v>
      </c>
      <c r="G20" s="102"/>
      <c r="H20" s="103"/>
    </row>
    <row r="21" spans="1:8" s="105" customFormat="1" ht="23.25" customHeight="1">
      <c r="A21" s="28" t="s">
        <v>18</v>
      </c>
      <c r="B21" s="104" t="s">
        <v>9</v>
      </c>
      <c r="C21" s="104" t="s">
        <v>25</v>
      </c>
      <c r="D21" s="104" t="s">
        <v>333</v>
      </c>
      <c r="E21" s="104" t="s">
        <v>154</v>
      </c>
      <c r="F21" s="101">
        <v>228300</v>
      </c>
      <c r="G21" s="102"/>
      <c r="H21" s="103"/>
    </row>
    <row r="22" spans="1:8" s="105" customFormat="1" ht="45">
      <c r="A22" s="28" t="s">
        <v>195</v>
      </c>
      <c r="B22" s="104" t="s">
        <v>9</v>
      </c>
      <c r="C22" s="104" t="s">
        <v>25</v>
      </c>
      <c r="D22" s="104" t="s">
        <v>334</v>
      </c>
      <c r="E22" s="104" t="s">
        <v>11</v>
      </c>
      <c r="F22" s="101">
        <f>F23</f>
        <v>241700</v>
      </c>
      <c r="G22" s="102"/>
      <c r="H22" s="103"/>
    </row>
    <row r="23" spans="1:8" s="105" customFormat="1" ht="23.25" customHeight="1">
      <c r="A23" s="28" t="s">
        <v>18</v>
      </c>
      <c r="B23" s="104" t="s">
        <v>9</v>
      </c>
      <c r="C23" s="104" t="s">
        <v>25</v>
      </c>
      <c r="D23" s="104" t="s">
        <v>334</v>
      </c>
      <c r="E23" s="104" t="s">
        <v>154</v>
      </c>
      <c r="F23" s="101">
        <f>230654.6+11045.4</f>
        <v>241700</v>
      </c>
      <c r="G23" s="102"/>
      <c r="H23" s="103"/>
    </row>
    <row r="24" spans="1:8" s="105" customFormat="1" ht="56.25">
      <c r="A24" s="28" t="s">
        <v>381</v>
      </c>
      <c r="B24" s="104" t="s">
        <v>9</v>
      </c>
      <c r="C24" s="104" t="s">
        <v>25</v>
      </c>
      <c r="D24" s="104" t="s">
        <v>335</v>
      </c>
      <c r="E24" s="104" t="s">
        <v>11</v>
      </c>
      <c r="F24" s="101">
        <f>F25</f>
        <v>44400</v>
      </c>
      <c r="G24" s="102"/>
      <c r="H24" s="103"/>
    </row>
    <row r="25" spans="1:8" s="105" customFormat="1" ht="21" customHeight="1">
      <c r="A25" s="28" t="s">
        <v>18</v>
      </c>
      <c r="B25" s="104" t="s">
        <v>9</v>
      </c>
      <c r="C25" s="104" t="s">
        <v>25</v>
      </c>
      <c r="D25" s="104" t="s">
        <v>335</v>
      </c>
      <c r="E25" s="104" t="s">
        <v>154</v>
      </c>
      <c r="F25" s="101">
        <v>44400</v>
      </c>
      <c r="G25" s="102"/>
      <c r="H25" s="103"/>
    </row>
    <row r="26" spans="1:8" ht="56.25">
      <c r="A26" s="6" t="s">
        <v>30</v>
      </c>
      <c r="B26" s="96" t="s">
        <v>9</v>
      </c>
      <c r="C26" s="96" t="s">
        <v>31</v>
      </c>
      <c r="D26" s="96" t="s">
        <v>8</v>
      </c>
      <c r="E26" s="96" t="s">
        <v>11</v>
      </c>
      <c r="F26" s="97">
        <f>F27</f>
        <v>10464816.04</v>
      </c>
      <c r="G26" s="98"/>
      <c r="H26" s="99"/>
    </row>
    <row r="27" spans="1:8" ht="38.25" customHeight="1">
      <c r="A27" s="4" t="s">
        <v>382</v>
      </c>
      <c r="B27" s="100" t="s">
        <v>9</v>
      </c>
      <c r="C27" s="100" t="s">
        <v>31</v>
      </c>
      <c r="D27" s="100" t="s">
        <v>336</v>
      </c>
      <c r="E27" s="100" t="s">
        <v>11</v>
      </c>
      <c r="F27" s="101">
        <f>F28</f>
        <v>10464816.04</v>
      </c>
      <c r="G27" s="102"/>
      <c r="H27" s="103"/>
    </row>
    <row r="28" spans="1:8" ht="22.5">
      <c r="A28" s="4" t="s">
        <v>18</v>
      </c>
      <c r="B28" s="100" t="s">
        <v>9</v>
      </c>
      <c r="C28" s="100" t="s">
        <v>31</v>
      </c>
      <c r="D28" s="100" t="s">
        <v>336</v>
      </c>
      <c r="E28" s="100" t="s">
        <v>154</v>
      </c>
      <c r="F28" s="101">
        <v>10464816.04</v>
      </c>
      <c r="G28" s="102"/>
      <c r="H28" s="103"/>
    </row>
    <row r="29" spans="1:8" ht="22.5">
      <c r="A29" s="6" t="s">
        <v>34</v>
      </c>
      <c r="B29" s="96" t="s">
        <v>9</v>
      </c>
      <c r="C29" s="96" t="s">
        <v>35</v>
      </c>
      <c r="D29" s="96" t="s">
        <v>8</v>
      </c>
      <c r="E29" s="96" t="s">
        <v>11</v>
      </c>
      <c r="F29" s="97">
        <f>F30</f>
        <v>1418495.71</v>
      </c>
      <c r="G29" s="98"/>
      <c r="H29" s="99"/>
    </row>
    <row r="30" spans="1:8" ht="22.5">
      <c r="A30" s="4" t="s">
        <v>36</v>
      </c>
      <c r="B30" s="100" t="s">
        <v>9</v>
      </c>
      <c r="C30" s="100" t="s">
        <v>35</v>
      </c>
      <c r="D30" s="100" t="s">
        <v>37</v>
      </c>
      <c r="E30" s="100" t="s">
        <v>11</v>
      </c>
      <c r="F30" s="101">
        <f>F31</f>
        <v>1418495.71</v>
      </c>
      <c r="G30" s="102"/>
      <c r="H30" s="103"/>
    </row>
    <row r="31" spans="1:8" ht="22.5">
      <c r="A31" s="4" t="s">
        <v>18</v>
      </c>
      <c r="B31" s="100" t="s">
        <v>9</v>
      </c>
      <c r="C31" s="100" t="s">
        <v>35</v>
      </c>
      <c r="D31" s="100" t="s">
        <v>37</v>
      </c>
      <c r="E31" s="100" t="s">
        <v>154</v>
      </c>
      <c r="F31" s="101">
        <f>1294295.71+124199.98+0.02</f>
        <v>1418495.71</v>
      </c>
      <c r="G31" s="102"/>
      <c r="H31" s="103"/>
    </row>
    <row r="32" spans="1:8" ht="25.5" customHeight="1">
      <c r="A32" s="7" t="s">
        <v>40</v>
      </c>
      <c r="B32" s="92" t="s">
        <v>19</v>
      </c>
      <c r="C32" s="92" t="s">
        <v>10</v>
      </c>
      <c r="D32" s="92" t="s">
        <v>33</v>
      </c>
      <c r="E32" s="92" t="s">
        <v>11</v>
      </c>
      <c r="F32" s="106">
        <f>F33+F48</f>
        <v>46168942.58</v>
      </c>
      <c r="G32" s="94"/>
      <c r="H32" s="95"/>
    </row>
    <row r="33" spans="1:8" ht="14.25" customHeight="1">
      <c r="A33" s="6" t="s">
        <v>41</v>
      </c>
      <c r="B33" s="96" t="s">
        <v>19</v>
      </c>
      <c r="C33" s="96" t="s">
        <v>13</v>
      </c>
      <c r="D33" s="96" t="s">
        <v>8</v>
      </c>
      <c r="E33" s="96" t="s">
        <v>11</v>
      </c>
      <c r="F33" s="97">
        <f>F34+F36+F38+F40+F42+F44+F46</f>
        <v>16566408.32</v>
      </c>
      <c r="G33" s="98"/>
      <c r="H33" s="99"/>
    </row>
    <row r="34" spans="1:8" ht="80.25" customHeight="1">
      <c r="A34" s="4" t="s">
        <v>42</v>
      </c>
      <c r="B34" s="100" t="s">
        <v>19</v>
      </c>
      <c r="C34" s="100" t="s">
        <v>13</v>
      </c>
      <c r="D34" s="100" t="s">
        <v>43</v>
      </c>
      <c r="E34" s="100" t="s">
        <v>11</v>
      </c>
      <c r="F34" s="101">
        <f>F35</f>
        <v>3739000</v>
      </c>
      <c r="G34" s="102"/>
      <c r="H34" s="103"/>
    </row>
    <row r="35" spans="1:8" ht="45">
      <c r="A35" s="4" t="s">
        <v>44</v>
      </c>
      <c r="B35" s="100" t="s">
        <v>19</v>
      </c>
      <c r="C35" s="100" t="s">
        <v>13</v>
      </c>
      <c r="D35" s="100" t="s">
        <v>43</v>
      </c>
      <c r="E35" s="100" t="s">
        <v>45</v>
      </c>
      <c r="F35" s="101">
        <v>3739000</v>
      </c>
      <c r="G35" s="102"/>
      <c r="H35" s="103"/>
    </row>
    <row r="36" spans="1:8" ht="11.25">
      <c r="A36" s="4" t="s">
        <v>46</v>
      </c>
      <c r="B36" s="100" t="s">
        <v>19</v>
      </c>
      <c r="C36" s="100" t="s">
        <v>13</v>
      </c>
      <c r="D36" s="100" t="s">
        <v>47</v>
      </c>
      <c r="E36" s="100" t="s">
        <v>11</v>
      </c>
      <c r="F36" s="101">
        <f>F37</f>
        <v>8880721.8</v>
      </c>
      <c r="G36" s="102"/>
      <c r="H36" s="103"/>
    </row>
    <row r="37" spans="1:8" ht="45">
      <c r="A37" s="4" t="s">
        <v>44</v>
      </c>
      <c r="B37" s="100" t="s">
        <v>19</v>
      </c>
      <c r="C37" s="100" t="s">
        <v>13</v>
      </c>
      <c r="D37" s="100" t="s">
        <v>47</v>
      </c>
      <c r="E37" s="100" t="s">
        <v>45</v>
      </c>
      <c r="F37" s="101">
        <v>8880721.8</v>
      </c>
      <c r="G37" s="102"/>
      <c r="H37" s="103"/>
    </row>
    <row r="38" spans="1:8" ht="33" customHeight="1">
      <c r="A38" s="4" t="s">
        <v>159</v>
      </c>
      <c r="B38" s="100" t="s">
        <v>19</v>
      </c>
      <c r="C38" s="100" t="s">
        <v>13</v>
      </c>
      <c r="D38" s="100" t="s">
        <v>156</v>
      </c>
      <c r="E38" s="100" t="s">
        <v>11</v>
      </c>
      <c r="F38" s="101">
        <f>F39</f>
        <v>2621128.2</v>
      </c>
      <c r="G38" s="102"/>
      <c r="H38" s="103"/>
    </row>
    <row r="39" spans="1:8" ht="45">
      <c r="A39" s="4" t="s">
        <v>44</v>
      </c>
      <c r="B39" s="100" t="s">
        <v>19</v>
      </c>
      <c r="C39" s="100" t="s">
        <v>13</v>
      </c>
      <c r="D39" s="100" t="s">
        <v>156</v>
      </c>
      <c r="E39" s="100" t="s">
        <v>45</v>
      </c>
      <c r="F39" s="101">
        <v>2621128.2</v>
      </c>
      <c r="G39" s="102"/>
      <c r="H39" s="103"/>
    </row>
    <row r="40" spans="1:8" s="105" customFormat="1" ht="36" customHeight="1">
      <c r="A40" s="28" t="s">
        <v>326</v>
      </c>
      <c r="B40" s="104" t="s">
        <v>19</v>
      </c>
      <c r="C40" s="104" t="s">
        <v>13</v>
      </c>
      <c r="D40" s="104" t="s">
        <v>318</v>
      </c>
      <c r="E40" s="104" t="s">
        <v>11</v>
      </c>
      <c r="F40" s="101">
        <f>F41</f>
        <v>277500</v>
      </c>
      <c r="G40" s="102"/>
      <c r="H40" s="103"/>
    </row>
    <row r="41" spans="1:8" s="105" customFormat="1" ht="45">
      <c r="A41" s="28" t="s">
        <v>44</v>
      </c>
      <c r="B41" s="104" t="s">
        <v>19</v>
      </c>
      <c r="C41" s="104" t="s">
        <v>13</v>
      </c>
      <c r="D41" s="104" t="s">
        <v>318</v>
      </c>
      <c r="E41" s="104" t="s">
        <v>45</v>
      </c>
      <c r="F41" s="101">
        <v>277500</v>
      </c>
      <c r="G41" s="102"/>
      <c r="H41" s="103"/>
    </row>
    <row r="42" spans="1:8" s="105" customFormat="1" ht="24" customHeight="1">
      <c r="A42" s="28" t="s">
        <v>327</v>
      </c>
      <c r="B42" s="104" t="s">
        <v>19</v>
      </c>
      <c r="C42" s="104" t="s">
        <v>13</v>
      </c>
      <c r="D42" s="104" t="s">
        <v>319</v>
      </c>
      <c r="E42" s="104" t="s">
        <v>11</v>
      </c>
      <c r="F42" s="101">
        <f>F43</f>
        <v>340000</v>
      </c>
      <c r="G42" s="102"/>
      <c r="H42" s="103"/>
    </row>
    <row r="43" spans="1:8" ht="45">
      <c r="A43" s="4" t="s">
        <v>44</v>
      </c>
      <c r="B43" s="100" t="s">
        <v>19</v>
      </c>
      <c r="C43" s="100" t="s">
        <v>13</v>
      </c>
      <c r="D43" s="100" t="s">
        <v>319</v>
      </c>
      <c r="E43" s="100" t="s">
        <v>45</v>
      </c>
      <c r="F43" s="101">
        <v>340000</v>
      </c>
      <c r="G43" s="102"/>
      <c r="H43" s="103"/>
    </row>
    <row r="44" spans="1:8" ht="46.5" customHeight="1">
      <c r="A44" s="4" t="s">
        <v>158</v>
      </c>
      <c r="B44" s="100" t="s">
        <v>19</v>
      </c>
      <c r="C44" s="100" t="s">
        <v>13</v>
      </c>
      <c r="D44" s="100" t="s">
        <v>157</v>
      </c>
      <c r="E44" s="100" t="s">
        <v>11</v>
      </c>
      <c r="F44" s="101">
        <f>F45</f>
        <v>676058.32</v>
      </c>
      <c r="G44" s="102"/>
      <c r="H44" s="103"/>
    </row>
    <row r="45" spans="1:8" ht="11.25">
      <c r="A45" s="4" t="s">
        <v>48</v>
      </c>
      <c r="B45" s="100" t="s">
        <v>19</v>
      </c>
      <c r="C45" s="100" t="s">
        <v>13</v>
      </c>
      <c r="D45" s="100" t="s">
        <v>157</v>
      </c>
      <c r="E45" s="100" t="s">
        <v>49</v>
      </c>
      <c r="F45" s="101">
        <v>676058.32</v>
      </c>
      <c r="G45" s="102"/>
      <c r="H45" s="103"/>
    </row>
    <row r="46" spans="1:8" s="105" customFormat="1" ht="22.5">
      <c r="A46" s="4" t="s">
        <v>58</v>
      </c>
      <c r="B46" s="104" t="s">
        <v>19</v>
      </c>
      <c r="C46" s="104" t="s">
        <v>13</v>
      </c>
      <c r="D46" s="104" t="s">
        <v>51</v>
      </c>
      <c r="E46" s="104" t="s">
        <v>11</v>
      </c>
      <c r="F46" s="101">
        <f>F47</f>
        <v>32000</v>
      </c>
      <c r="G46" s="102"/>
      <c r="H46" s="103"/>
    </row>
    <row r="47" spans="1:8" s="105" customFormat="1" ht="22.5">
      <c r="A47" s="28" t="s">
        <v>18</v>
      </c>
      <c r="B47" s="104" t="s">
        <v>19</v>
      </c>
      <c r="C47" s="104" t="s">
        <v>13</v>
      </c>
      <c r="D47" s="104" t="s">
        <v>51</v>
      </c>
      <c r="E47" s="104" t="s">
        <v>154</v>
      </c>
      <c r="F47" s="101">
        <v>32000</v>
      </c>
      <c r="G47" s="102"/>
      <c r="H47" s="103"/>
    </row>
    <row r="48" spans="1:8" ht="44.25" customHeight="1">
      <c r="A48" s="6" t="s">
        <v>127</v>
      </c>
      <c r="B48" s="96" t="s">
        <v>19</v>
      </c>
      <c r="C48" s="96" t="s">
        <v>72</v>
      </c>
      <c r="D48" s="96" t="s">
        <v>8</v>
      </c>
      <c r="E48" s="96" t="s">
        <v>11</v>
      </c>
      <c r="F48" s="97">
        <f>F51+F49</f>
        <v>29602534.26</v>
      </c>
      <c r="G48" s="98"/>
      <c r="H48" s="99"/>
    </row>
    <row r="49" spans="1:8" s="105" customFormat="1" ht="33.75">
      <c r="A49" s="28" t="s">
        <v>433</v>
      </c>
      <c r="B49" s="104" t="s">
        <v>19</v>
      </c>
      <c r="C49" s="104" t="s">
        <v>72</v>
      </c>
      <c r="D49" s="104" t="s">
        <v>424</v>
      </c>
      <c r="E49" s="104" t="s">
        <v>11</v>
      </c>
      <c r="F49" s="101">
        <f>F50</f>
        <v>12721070</v>
      </c>
      <c r="G49" s="102"/>
      <c r="H49" s="103"/>
    </row>
    <row r="50" spans="1:8" s="105" customFormat="1" ht="22.5">
      <c r="A50" s="28" t="s">
        <v>18</v>
      </c>
      <c r="B50" s="104" t="s">
        <v>19</v>
      </c>
      <c r="C50" s="104" t="s">
        <v>72</v>
      </c>
      <c r="D50" s="104" t="s">
        <v>424</v>
      </c>
      <c r="E50" s="104" t="s">
        <v>154</v>
      </c>
      <c r="F50" s="101">
        <v>12721070</v>
      </c>
      <c r="G50" s="102"/>
      <c r="H50" s="103"/>
    </row>
    <row r="51" spans="1:8" ht="44.25" customHeight="1">
      <c r="A51" s="4" t="s">
        <v>128</v>
      </c>
      <c r="B51" s="100" t="s">
        <v>19</v>
      </c>
      <c r="C51" s="100" t="s">
        <v>72</v>
      </c>
      <c r="D51" s="100" t="s">
        <v>320</v>
      </c>
      <c r="E51" s="100" t="s">
        <v>11</v>
      </c>
      <c r="F51" s="101">
        <f>F52</f>
        <v>16881464.26</v>
      </c>
      <c r="G51" s="102"/>
      <c r="H51" s="103"/>
    </row>
    <row r="52" spans="1:8" ht="22.5">
      <c r="A52" s="4" t="s">
        <v>18</v>
      </c>
      <c r="B52" s="100" t="s">
        <v>19</v>
      </c>
      <c r="C52" s="100" t="s">
        <v>72</v>
      </c>
      <c r="D52" s="100" t="s">
        <v>320</v>
      </c>
      <c r="E52" s="100" t="s">
        <v>154</v>
      </c>
      <c r="F52" s="101">
        <v>16881464.26</v>
      </c>
      <c r="G52" s="102"/>
      <c r="H52" s="103"/>
    </row>
    <row r="53" spans="1:8" ht="11.25">
      <c r="A53" s="7" t="s">
        <v>52</v>
      </c>
      <c r="B53" s="92" t="s">
        <v>25</v>
      </c>
      <c r="C53" s="92" t="s">
        <v>10</v>
      </c>
      <c r="D53" s="92" t="s">
        <v>8</v>
      </c>
      <c r="E53" s="92" t="s">
        <v>11</v>
      </c>
      <c r="F53" s="106">
        <f>F54+F59+F64</f>
        <v>6507937.63</v>
      </c>
      <c r="G53" s="94"/>
      <c r="H53" s="95"/>
    </row>
    <row r="54" spans="1:8" ht="11.25">
      <c r="A54" s="6" t="s">
        <v>53</v>
      </c>
      <c r="B54" s="96" t="s">
        <v>25</v>
      </c>
      <c r="C54" s="96" t="s">
        <v>27</v>
      </c>
      <c r="D54" s="96" t="s">
        <v>8</v>
      </c>
      <c r="E54" s="96" t="s">
        <v>11</v>
      </c>
      <c r="F54" s="97">
        <f>F57+F56</f>
        <v>3330452.9</v>
      </c>
      <c r="G54" s="98"/>
      <c r="H54" s="99"/>
    </row>
    <row r="55" spans="1:8" s="105" customFormat="1" ht="33.75">
      <c r="A55" s="28" t="s">
        <v>421</v>
      </c>
      <c r="B55" s="107" t="s">
        <v>25</v>
      </c>
      <c r="C55" s="107" t="s">
        <v>27</v>
      </c>
      <c r="D55" s="104" t="s">
        <v>337</v>
      </c>
      <c r="E55" s="107" t="s">
        <v>11</v>
      </c>
      <c r="F55" s="101">
        <f>F56</f>
        <v>545752.9</v>
      </c>
      <c r="G55" s="98"/>
      <c r="H55" s="99"/>
    </row>
    <row r="56" spans="1:8" s="105" customFormat="1" ht="22.5">
      <c r="A56" s="28" t="s">
        <v>18</v>
      </c>
      <c r="B56" s="104" t="s">
        <v>25</v>
      </c>
      <c r="C56" s="104" t="s">
        <v>27</v>
      </c>
      <c r="D56" s="104" t="s">
        <v>337</v>
      </c>
      <c r="E56" s="104" t="s">
        <v>154</v>
      </c>
      <c r="F56" s="101">
        <v>545752.9</v>
      </c>
      <c r="G56" s="98"/>
      <c r="H56" s="99"/>
    </row>
    <row r="57" spans="1:8" s="105" customFormat="1" ht="45">
      <c r="A57" s="28" t="s">
        <v>160</v>
      </c>
      <c r="B57" s="104" t="s">
        <v>25</v>
      </c>
      <c r="C57" s="104" t="s">
        <v>27</v>
      </c>
      <c r="D57" s="104" t="s">
        <v>338</v>
      </c>
      <c r="E57" s="104" t="s">
        <v>11</v>
      </c>
      <c r="F57" s="101">
        <f>F58</f>
        <v>2784700</v>
      </c>
      <c r="G57" s="102"/>
      <c r="H57" s="103"/>
    </row>
    <row r="58" spans="1:8" s="105" customFormat="1" ht="22.5">
      <c r="A58" s="28" t="s">
        <v>18</v>
      </c>
      <c r="B58" s="104" t="s">
        <v>25</v>
      </c>
      <c r="C58" s="104" t="s">
        <v>27</v>
      </c>
      <c r="D58" s="104" t="s">
        <v>338</v>
      </c>
      <c r="E58" s="104" t="s">
        <v>154</v>
      </c>
      <c r="F58" s="101">
        <v>2784700</v>
      </c>
      <c r="G58" s="102"/>
      <c r="H58" s="103"/>
    </row>
    <row r="59" spans="1:8" ht="11.25">
      <c r="A59" s="6" t="s">
        <v>214</v>
      </c>
      <c r="B59" s="96" t="s">
        <v>25</v>
      </c>
      <c r="C59" s="96" t="s">
        <v>72</v>
      </c>
      <c r="D59" s="96" t="s">
        <v>8</v>
      </c>
      <c r="E59" s="96" t="s">
        <v>213</v>
      </c>
      <c r="F59" s="97">
        <f>F62+F60</f>
        <v>1772610.24</v>
      </c>
      <c r="G59" s="98"/>
      <c r="H59" s="99"/>
    </row>
    <row r="60" spans="1:8" ht="45">
      <c r="A60" s="4" t="s">
        <v>228</v>
      </c>
      <c r="B60" s="100" t="s">
        <v>25</v>
      </c>
      <c r="C60" s="100" t="s">
        <v>72</v>
      </c>
      <c r="D60" s="100" t="s">
        <v>248</v>
      </c>
      <c r="E60" s="100" t="s">
        <v>11</v>
      </c>
      <c r="F60" s="101">
        <f>F61</f>
        <v>1570000</v>
      </c>
      <c r="G60" s="98"/>
      <c r="H60" s="99"/>
    </row>
    <row r="61" spans="1:8" ht="11.25">
      <c r="A61" s="4" t="s">
        <v>219</v>
      </c>
      <c r="B61" s="100" t="s">
        <v>25</v>
      </c>
      <c r="C61" s="100" t="s">
        <v>72</v>
      </c>
      <c r="D61" s="100" t="s">
        <v>248</v>
      </c>
      <c r="E61" s="100" t="s">
        <v>203</v>
      </c>
      <c r="F61" s="101">
        <v>1570000</v>
      </c>
      <c r="G61" s="98"/>
      <c r="H61" s="99"/>
    </row>
    <row r="62" spans="1:7" ht="22.5">
      <c r="A62" s="4" t="s">
        <v>293</v>
      </c>
      <c r="B62" s="100" t="s">
        <v>25</v>
      </c>
      <c r="C62" s="100" t="s">
        <v>72</v>
      </c>
      <c r="D62" s="100" t="s">
        <v>266</v>
      </c>
      <c r="E62" s="100" t="s">
        <v>11</v>
      </c>
      <c r="F62" s="101">
        <f>F63</f>
        <v>202610.24</v>
      </c>
      <c r="G62" s="102"/>
    </row>
    <row r="63" spans="1:8" ht="56.25">
      <c r="A63" s="4" t="s">
        <v>268</v>
      </c>
      <c r="B63" s="100" t="s">
        <v>25</v>
      </c>
      <c r="C63" s="100" t="s">
        <v>72</v>
      </c>
      <c r="D63" s="100" t="s">
        <v>266</v>
      </c>
      <c r="E63" s="100" t="s">
        <v>267</v>
      </c>
      <c r="F63" s="101">
        <v>202610.24</v>
      </c>
      <c r="G63" s="102"/>
      <c r="H63" s="103"/>
    </row>
    <row r="64" spans="1:8" ht="24" customHeight="1">
      <c r="A64" s="6" t="s">
        <v>142</v>
      </c>
      <c r="B64" s="96" t="s">
        <v>25</v>
      </c>
      <c r="C64" s="96" t="s">
        <v>32</v>
      </c>
      <c r="D64" s="96" t="s">
        <v>33</v>
      </c>
      <c r="E64" s="96" t="s">
        <v>11</v>
      </c>
      <c r="F64" s="97">
        <f>F65+F67</f>
        <v>1404874.49</v>
      </c>
      <c r="G64" s="98"/>
      <c r="H64" s="99"/>
    </row>
    <row r="65" spans="1:8" ht="22.5">
      <c r="A65" s="4" t="s">
        <v>143</v>
      </c>
      <c r="B65" s="100" t="s">
        <v>25</v>
      </c>
      <c r="C65" s="100" t="s">
        <v>32</v>
      </c>
      <c r="D65" s="100" t="s">
        <v>269</v>
      </c>
      <c r="E65" s="100" t="s">
        <v>11</v>
      </c>
      <c r="F65" s="101">
        <f>F66</f>
        <v>1204874.49</v>
      </c>
      <c r="G65" s="102"/>
      <c r="H65" s="103"/>
    </row>
    <row r="66" spans="1:8" ht="22.5">
      <c r="A66" s="4" t="s">
        <v>18</v>
      </c>
      <c r="B66" s="100" t="s">
        <v>25</v>
      </c>
      <c r="C66" s="100" t="s">
        <v>32</v>
      </c>
      <c r="D66" s="100" t="s">
        <v>269</v>
      </c>
      <c r="E66" s="100" t="s">
        <v>154</v>
      </c>
      <c r="F66" s="101">
        <v>1204874.49</v>
      </c>
      <c r="G66" s="102"/>
      <c r="H66" s="103"/>
    </row>
    <row r="67" spans="1:8" ht="22.5">
      <c r="A67" s="4" t="s">
        <v>58</v>
      </c>
      <c r="B67" s="100" t="s">
        <v>25</v>
      </c>
      <c r="C67" s="100" t="s">
        <v>32</v>
      </c>
      <c r="D67" s="100" t="s">
        <v>141</v>
      </c>
      <c r="E67" s="100" t="s">
        <v>11</v>
      </c>
      <c r="F67" s="108">
        <f>F68</f>
        <v>200000</v>
      </c>
      <c r="G67" s="102"/>
      <c r="H67" s="103"/>
    </row>
    <row r="68" spans="1:8" ht="22.5">
      <c r="A68" s="4" t="s">
        <v>18</v>
      </c>
      <c r="B68" s="100" t="s">
        <v>25</v>
      </c>
      <c r="C68" s="100" t="s">
        <v>32</v>
      </c>
      <c r="D68" s="100" t="s">
        <v>152</v>
      </c>
      <c r="E68" s="100" t="s">
        <v>154</v>
      </c>
      <c r="F68" s="108">
        <v>200000</v>
      </c>
      <c r="G68" s="102"/>
      <c r="H68" s="103"/>
    </row>
    <row r="69" spans="1:8" s="109" customFormat="1" ht="13.5" customHeight="1">
      <c r="A69" s="7" t="s">
        <v>215</v>
      </c>
      <c r="B69" s="92" t="s">
        <v>27</v>
      </c>
      <c r="C69" s="92" t="s">
        <v>10</v>
      </c>
      <c r="D69" s="92" t="s">
        <v>33</v>
      </c>
      <c r="E69" s="92" t="s">
        <v>11</v>
      </c>
      <c r="F69" s="106">
        <f>F70+F77+F82+F89</f>
        <v>144348795.57</v>
      </c>
      <c r="G69" s="94"/>
      <c r="H69" s="95"/>
    </row>
    <row r="70" spans="1:8" ht="11.25">
      <c r="A70" s="6" t="s">
        <v>216</v>
      </c>
      <c r="B70" s="96" t="s">
        <v>27</v>
      </c>
      <c r="C70" s="96" t="s">
        <v>9</v>
      </c>
      <c r="D70" s="96" t="s">
        <v>8</v>
      </c>
      <c r="E70" s="96" t="s">
        <v>11</v>
      </c>
      <c r="F70" s="97">
        <f>F71+F73+F75</f>
        <v>58796607.95</v>
      </c>
      <c r="G70" s="98"/>
      <c r="H70" s="99"/>
    </row>
    <row r="71" spans="1:8" ht="69" customHeight="1">
      <c r="A71" s="28" t="s">
        <v>383</v>
      </c>
      <c r="B71" s="104" t="s">
        <v>27</v>
      </c>
      <c r="C71" s="104" t="s">
        <v>9</v>
      </c>
      <c r="D71" s="104" t="s">
        <v>296</v>
      </c>
      <c r="E71" s="104" t="s">
        <v>11</v>
      </c>
      <c r="F71" s="101">
        <f>F72</f>
        <v>52853510.38</v>
      </c>
      <c r="G71" s="102"/>
      <c r="H71" s="103"/>
    </row>
    <row r="72" spans="1:8" ht="11.25">
      <c r="A72" s="4" t="s">
        <v>56</v>
      </c>
      <c r="B72" s="104" t="s">
        <v>27</v>
      </c>
      <c r="C72" s="104" t="s">
        <v>9</v>
      </c>
      <c r="D72" s="104" t="s">
        <v>296</v>
      </c>
      <c r="E72" s="104" t="s">
        <v>57</v>
      </c>
      <c r="F72" s="101">
        <v>52853510.38</v>
      </c>
      <c r="G72" s="102"/>
      <c r="H72" s="103"/>
    </row>
    <row r="73" spans="1:8" ht="44.25" customHeight="1">
      <c r="A73" s="4" t="s">
        <v>291</v>
      </c>
      <c r="B73" s="104" t="s">
        <v>27</v>
      </c>
      <c r="C73" s="104" t="s">
        <v>9</v>
      </c>
      <c r="D73" s="104" t="s">
        <v>290</v>
      </c>
      <c r="E73" s="104" t="s">
        <v>11</v>
      </c>
      <c r="F73" s="101">
        <f>F74</f>
        <v>729097.57</v>
      </c>
      <c r="G73" s="102"/>
      <c r="H73" s="103"/>
    </row>
    <row r="74" spans="1:8" ht="11.25">
      <c r="A74" s="4" t="s">
        <v>56</v>
      </c>
      <c r="B74" s="104" t="s">
        <v>27</v>
      </c>
      <c r="C74" s="104" t="s">
        <v>9</v>
      </c>
      <c r="D74" s="104" t="s">
        <v>290</v>
      </c>
      <c r="E74" s="104" t="s">
        <v>57</v>
      </c>
      <c r="F74" s="101">
        <v>729097.57</v>
      </c>
      <c r="G74" s="102"/>
      <c r="H74" s="103"/>
    </row>
    <row r="75" spans="1:8" s="105" customFormat="1" ht="45">
      <c r="A75" s="28" t="s">
        <v>291</v>
      </c>
      <c r="B75" s="104" t="s">
        <v>27</v>
      </c>
      <c r="C75" s="104" t="s">
        <v>9</v>
      </c>
      <c r="D75" s="104" t="s">
        <v>290</v>
      </c>
      <c r="E75" s="104" t="s">
        <v>11</v>
      </c>
      <c r="F75" s="101">
        <f>F76</f>
        <v>5214000</v>
      </c>
      <c r="G75" s="102"/>
      <c r="H75" s="103"/>
    </row>
    <row r="76" spans="1:8" s="105" customFormat="1" ht="33.75">
      <c r="A76" s="28" t="s">
        <v>316</v>
      </c>
      <c r="B76" s="104" t="s">
        <v>27</v>
      </c>
      <c r="C76" s="104" t="s">
        <v>9</v>
      </c>
      <c r="D76" s="104" t="s">
        <v>290</v>
      </c>
      <c r="E76" s="104" t="s">
        <v>165</v>
      </c>
      <c r="F76" s="101">
        <v>5214000</v>
      </c>
      <c r="G76" s="102"/>
      <c r="H76" s="103"/>
    </row>
    <row r="77" spans="1:8" ht="11.25">
      <c r="A77" s="6" t="s">
        <v>222</v>
      </c>
      <c r="B77" s="96" t="s">
        <v>27</v>
      </c>
      <c r="C77" s="96" t="s">
        <v>13</v>
      </c>
      <c r="D77" s="96" t="s">
        <v>8</v>
      </c>
      <c r="E77" s="96" t="s">
        <v>11</v>
      </c>
      <c r="F77" s="97">
        <f>F80+F78</f>
        <v>10619114.58</v>
      </c>
      <c r="G77" s="98"/>
      <c r="H77" s="99"/>
    </row>
    <row r="78" spans="1:8" s="105" customFormat="1" ht="22.5">
      <c r="A78" s="28" t="s">
        <v>434</v>
      </c>
      <c r="B78" s="104" t="s">
        <v>27</v>
      </c>
      <c r="C78" s="104" t="s">
        <v>13</v>
      </c>
      <c r="D78" s="104" t="s">
        <v>425</v>
      </c>
      <c r="E78" s="104" t="s">
        <v>11</v>
      </c>
      <c r="F78" s="101">
        <f>F79</f>
        <v>9852062</v>
      </c>
      <c r="G78" s="102"/>
      <c r="H78" s="103"/>
    </row>
    <row r="79" spans="1:8" s="105" customFormat="1" ht="22.5">
      <c r="A79" s="28" t="s">
        <v>18</v>
      </c>
      <c r="B79" s="104" t="s">
        <v>27</v>
      </c>
      <c r="C79" s="104" t="s">
        <v>13</v>
      </c>
      <c r="D79" s="104" t="s">
        <v>425</v>
      </c>
      <c r="E79" s="104" t="s">
        <v>154</v>
      </c>
      <c r="F79" s="101">
        <v>9852062</v>
      </c>
      <c r="G79" s="102"/>
      <c r="H79" s="103"/>
    </row>
    <row r="80" spans="1:8" ht="21.75" customHeight="1">
      <c r="A80" s="4" t="s">
        <v>223</v>
      </c>
      <c r="B80" s="100" t="s">
        <v>27</v>
      </c>
      <c r="C80" s="100" t="s">
        <v>13</v>
      </c>
      <c r="D80" s="100" t="s">
        <v>314</v>
      </c>
      <c r="E80" s="100" t="s">
        <v>11</v>
      </c>
      <c r="F80" s="101">
        <f>F81</f>
        <v>767052.58</v>
      </c>
      <c r="G80" s="102"/>
      <c r="H80" s="103"/>
    </row>
    <row r="81" spans="1:8" ht="21.75" customHeight="1">
      <c r="A81" s="4" t="s">
        <v>18</v>
      </c>
      <c r="B81" s="100" t="s">
        <v>201</v>
      </c>
      <c r="C81" s="100" t="s">
        <v>13</v>
      </c>
      <c r="D81" s="100" t="s">
        <v>314</v>
      </c>
      <c r="E81" s="100" t="s">
        <v>154</v>
      </c>
      <c r="F81" s="108">
        <v>767052.58</v>
      </c>
      <c r="G81" s="102"/>
      <c r="H81" s="103"/>
    </row>
    <row r="82" spans="1:8" s="110" customFormat="1" ht="11.25">
      <c r="A82" s="6" t="s">
        <v>224</v>
      </c>
      <c r="B82" s="96" t="s">
        <v>27</v>
      </c>
      <c r="C82" s="96" t="s">
        <v>19</v>
      </c>
      <c r="D82" s="96" t="s">
        <v>8</v>
      </c>
      <c r="E82" s="96" t="s">
        <v>11</v>
      </c>
      <c r="F82" s="97">
        <f>F83+F85+F87</f>
        <v>3530443.79</v>
      </c>
      <c r="G82" s="98"/>
      <c r="H82" s="99"/>
    </row>
    <row r="83" spans="1:8" s="110" customFormat="1" ht="22.5">
      <c r="A83" s="28" t="s">
        <v>293</v>
      </c>
      <c r="B83" s="104" t="s">
        <v>27</v>
      </c>
      <c r="C83" s="104" t="s">
        <v>19</v>
      </c>
      <c r="D83" s="104" t="s">
        <v>266</v>
      </c>
      <c r="E83" s="104" t="s">
        <v>11</v>
      </c>
      <c r="F83" s="101">
        <f>F84</f>
        <v>3145922</v>
      </c>
      <c r="G83" s="102"/>
      <c r="H83" s="103"/>
    </row>
    <row r="84" spans="1:8" s="110" customFormat="1" ht="57" customHeight="1">
      <c r="A84" s="28" t="s">
        <v>268</v>
      </c>
      <c r="B84" s="104" t="s">
        <v>27</v>
      </c>
      <c r="C84" s="104" t="s">
        <v>19</v>
      </c>
      <c r="D84" s="104" t="s">
        <v>266</v>
      </c>
      <c r="E84" s="104" t="s">
        <v>267</v>
      </c>
      <c r="F84" s="101">
        <v>3145922</v>
      </c>
      <c r="G84" s="102"/>
      <c r="H84" s="103"/>
    </row>
    <row r="85" spans="1:8" s="105" customFormat="1" ht="56.25">
      <c r="A85" s="28" t="s">
        <v>225</v>
      </c>
      <c r="B85" s="104" t="s">
        <v>27</v>
      </c>
      <c r="C85" s="104" t="s">
        <v>19</v>
      </c>
      <c r="D85" s="104" t="s">
        <v>426</v>
      </c>
      <c r="E85" s="104" t="s">
        <v>11</v>
      </c>
      <c r="F85" s="101">
        <f>F86</f>
        <v>221675.79</v>
      </c>
      <c r="G85" s="102"/>
      <c r="H85" s="103"/>
    </row>
    <row r="86" spans="1:8" s="105" customFormat="1" ht="22.5">
      <c r="A86" s="28" t="s">
        <v>18</v>
      </c>
      <c r="B86" s="104" t="s">
        <v>27</v>
      </c>
      <c r="C86" s="104" t="s">
        <v>19</v>
      </c>
      <c r="D86" s="104" t="s">
        <v>426</v>
      </c>
      <c r="E86" s="104" t="s">
        <v>154</v>
      </c>
      <c r="F86" s="101">
        <v>221675.79</v>
      </c>
      <c r="G86" s="102"/>
      <c r="H86" s="103"/>
    </row>
    <row r="87" spans="1:8" s="105" customFormat="1" ht="45">
      <c r="A87" s="28" t="s">
        <v>384</v>
      </c>
      <c r="B87" s="104" t="s">
        <v>27</v>
      </c>
      <c r="C87" s="104" t="s">
        <v>19</v>
      </c>
      <c r="D87" s="104" t="s">
        <v>339</v>
      </c>
      <c r="E87" s="104" t="s">
        <v>11</v>
      </c>
      <c r="F87" s="101">
        <f>F88</f>
        <v>162846</v>
      </c>
      <c r="G87" s="102"/>
      <c r="H87" s="103"/>
    </row>
    <row r="88" spans="1:8" s="105" customFormat="1" ht="22.5">
      <c r="A88" s="28" t="s">
        <v>18</v>
      </c>
      <c r="B88" s="104" t="s">
        <v>27</v>
      </c>
      <c r="C88" s="104" t="s">
        <v>19</v>
      </c>
      <c r="D88" s="104" t="s">
        <v>339</v>
      </c>
      <c r="E88" s="104" t="s">
        <v>154</v>
      </c>
      <c r="F88" s="101">
        <v>162846</v>
      </c>
      <c r="G88" s="102"/>
      <c r="H88" s="103"/>
    </row>
    <row r="89" spans="1:8" ht="23.25" customHeight="1">
      <c r="A89" s="6" t="s">
        <v>227</v>
      </c>
      <c r="B89" s="96" t="s">
        <v>27</v>
      </c>
      <c r="C89" s="96" t="s">
        <v>27</v>
      </c>
      <c r="D89" s="96" t="s">
        <v>144</v>
      </c>
      <c r="E89" s="96" t="s">
        <v>11</v>
      </c>
      <c r="F89" s="97">
        <f>F90+F92+F94+F96+F100+F102+F98</f>
        <v>71402629.25</v>
      </c>
      <c r="G89" s="98"/>
      <c r="H89" s="99"/>
    </row>
    <row r="90" spans="1:8" ht="33.75" customHeight="1">
      <c r="A90" s="4" t="s">
        <v>228</v>
      </c>
      <c r="B90" s="100" t="s">
        <v>27</v>
      </c>
      <c r="C90" s="100" t="s">
        <v>27</v>
      </c>
      <c r="D90" s="100" t="s">
        <v>206</v>
      </c>
      <c r="E90" s="100" t="s">
        <v>11</v>
      </c>
      <c r="F90" s="108">
        <f>F91</f>
        <v>11818334.54</v>
      </c>
      <c r="G90" s="102"/>
      <c r="H90" s="103"/>
    </row>
    <row r="91" spans="1:8" ht="11.25">
      <c r="A91" s="4" t="s">
        <v>219</v>
      </c>
      <c r="B91" s="100" t="s">
        <v>27</v>
      </c>
      <c r="C91" s="100" t="s">
        <v>27</v>
      </c>
      <c r="D91" s="100" t="s">
        <v>248</v>
      </c>
      <c r="E91" s="100" t="s">
        <v>203</v>
      </c>
      <c r="F91" s="108">
        <v>11818334.54</v>
      </c>
      <c r="G91" s="102"/>
      <c r="H91" s="103"/>
    </row>
    <row r="92" spans="1:8" ht="24.75" customHeight="1">
      <c r="A92" s="4" t="s">
        <v>230</v>
      </c>
      <c r="B92" s="100" t="s">
        <v>27</v>
      </c>
      <c r="C92" s="100" t="s">
        <v>27</v>
      </c>
      <c r="D92" s="100" t="s">
        <v>229</v>
      </c>
      <c r="E92" s="100" t="s">
        <v>11</v>
      </c>
      <c r="F92" s="108">
        <f>F93</f>
        <v>2428199.3</v>
      </c>
      <c r="G92" s="102"/>
      <c r="H92" s="103"/>
    </row>
    <row r="93" spans="1:8" ht="14.25" customHeight="1">
      <c r="A93" s="4" t="s">
        <v>219</v>
      </c>
      <c r="B93" s="100" t="s">
        <v>27</v>
      </c>
      <c r="C93" s="100" t="s">
        <v>27</v>
      </c>
      <c r="D93" s="100" t="s">
        <v>232</v>
      </c>
      <c r="E93" s="100" t="s">
        <v>203</v>
      </c>
      <c r="F93" s="108">
        <v>2428199.3</v>
      </c>
      <c r="G93" s="102"/>
      <c r="H93" s="103"/>
    </row>
    <row r="94" spans="1:8" ht="59.25" customHeight="1">
      <c r="A94" s="4" t="s">
        <v>301</v>
      </c>
      <c r="B94" s="100" t="s">
        <v>27</v>
      </c>
      <c r="C94" s="100" t="s">
        <v>27</v>
      </c>
      <c r="D94" s="100" t="s">
        <v>300</v>
      </c>
      <c r="E94" s="100" t="s">
        <v>11</v>
      </c>
      <c r="F94" s="108">
        <f>F95</f>
        <v>37467512.6</v>
      </c>
      <c r="G94" s="102"/>
      <c r="H94" s="103"/>
    </row>
    <row r="95" spans="1:8" ht="12" customHeight="1">
      <c r="A95" s="4" t="s">
        <v>219</v>
      </c>
      <c r="B95" s="100" t="s">
        <v>27</v>
      </c>
      <c r="C95" s="100" t="s">
        <v>27</v>
      </c>
      <c r="D95" s="100" t="s">
        <v>300</v>
      </c>
      <c r="E95" s="100" t="s">
        <v>203</v>
      </c>
      <c r="F95" s="108">
        <f>396348.9+831039+4096+66731.37+86060.54+89901+135955+2732+7504+1781006+65088+143622.3+1255327.82+560852.7+3436810.07+1741823.8+155007+1580229+1801697.3+202010+921118.12+35375.01+40229.56+1363417.2+1304815.2+2759707.1+818842.85+1307040.61+12616859.15+1407035.3+549230.7</f>
        <v>37467512.6</v>
      </c>
      <c r="G95" s="102"/>
      <c r="H95" s="103"/>
    </row>
    <row r="96" spans="1:8" s="105" customFormat="1" ht="78.75">
      <c r="A96" s="28" t="s">
        <v>385</v>
      </c>
      <c r="B96" s="104" t="s">
        <v>27</v>
      </c>
      <c r="C96" s="104" t="s">
        <v>27</v>
      </c>
      <c r="D96" s="104" t="s">
        <v>340</v>
      </c>
      <c r="E96" s="104" t="s">
        <v>11</v>
      </c>
      <c r="F96" s="101">
        <f>F97</f>
        <v>5500000</v>
      </c>
      <c r="G96" s="102"/>
      <c r="H96" s="103"/>
    </row>
    <row r="97" spans="1:8" s="105" customFormat="1" ht="12" customHeight="1">
      <c r="A97" s="28" t="s">
        <v>219</v>
      </c>
      <c r="B97" s="104" t="s">
        <v>27</v>
      </c>
      <c r="C97" s="104" t="s">
        <v>27</v>
      </c>
      <c r="D97" s="104" t="s">
        <v>340</v>
      </c>
      <c r="E97" s="104" t="s">
        <v>203</v>
      </c>
      <c r="F97" s="101">
        <v>5500000</v>
      </c>
      <c r="G97" s="102"/>
      <c r="H97" s="103"/>
    </row>
    <row r="98" spans="1:8" s="105" customFormat="1" ht="22.5">
      <c r="A98" s="28" t="s">
        <v>435</v>
      </c>
      <c r="B98" s="104" t="s">
        <v>27</v>
      </c>
      <c r="C98" s="104" t="s">
        <v>27</v>
      </c>
      <c r="D98" s="104" t="s">
        <v>427</v>
      </c>
      <c r="E98" s="104" t="s">
        <v>11</v>
      </c>
      <c r="F98" s="101">
        <f>F99</f>
        <v>1800000</v>
      </c>
      <c r="G98" s="102"/>
      <c r="H98" s="103"/>
    </row>
    <row r="99" spans="1:8" s="105" customFormat="1" ht="12" customHeight="1">
      <c r="A99" s="28" t="s">
        <v>219</v>
      </c>
      <c r="B99" s="104" t="s">
        <v>27</v>
      </c>
      <c r="C99" s="104" t="s">
        <v>27</v>
      </c>
      <c r="D99" s="104" t="s">
        <v>427</v>
      </c>
      <c r="E99" s="104" t="s">
        <v>203</v>
      </c>
      <c r="F99" s="101">
        <v>1800000</v>
      </c>
      <c r="G99" s="102"/>
      <c r="H99" s="103"/>
    </row>
    <row r="100" spans="1:8" ht="45.75" customHeight="1">
      <c r="A100" s="4" t="s">
        <v>233</v>
      </c>
      <c r="B100" s="100" t="s">
        <v>27</v>
      </c>
      <c r="C100" s="100" t="s">
        <v>27</v>
      </c>
      <c r="D100" s="100" t="s">
        <v>309</v>
      </c>
      <c r="E100" s="100" t="s">
        <v>11</v>
      </c>
      <c r="F100" s="108">
        <f>F101</f>
        <v>12177590.440000001</v>
      </c>
      <c r="G100" s="102"/>
      <c r="H100" s="103"/>
    </row>
    <row r="101" spans="1:8" ht="11.25">
      <c r="A101" s="4" t="s">
        <v>219</v>
      </c>
      <c r="B101" s="100" t="s">
        <v>27</v>
      </c>
      <c r="C101" s="100" t="s">
        <v>27</v>
      </c>
      <c r="D101" s="100" t="s">
        <v>309</v>
      </c>
      <c r="E101" s="100" t="s">
        <v>203</v>
      </c>
      <c r="F101" s="108">
        <f>219518.14+148564.3+4179660+7185340+444508</f>
        <v>12177590.440000001</v>
      </c>
      <c r="G101" s="102"/>
      <c r="H101" s="103"/>
    </row>
    <row r="102" spans="1:8" ht="23.25" customHeight="1">
      <c r="A102" s="4" t="s">
        <v>221</v>
      </c>
      <c r="B102" s="100" t="s">
        <v>27</v>
      </c>
      <c r="C102" s="100" t="s">
        <v>27</v>
      </c>
      <c r="D102" s="100" t="s">
        <v>141</v>
      </c>
      <c r="E102" s="100" t="s">
        <v>11</v>
      </c>
      <c r="F102" s="108">
        <f>F103</f>
        <v>210992.37</v>
      </c>
      <c r="G102" s="102"/>
      <c r="H102" s="103"/>
    </row>
    <row r="103" spans="1:8" ht="12.75" customHeight="1">
      <c r="A103" s="4" t="s">
        <v>219</v>
      </c>
      <c r="B103" s="100" t="s">
        <v>27</v>
      </c>
      <c r="C103" s="100" t="s">
        <v>27</v>
      </c>
      <c r="D103" s="100" t="s">
        <v>152</v>
      </c>
      <c r="E103" s="100" t="s">
        <v>203</v>
      </c>
      <c r="F103" s="108">
        <v>210992.37</v>
      </c>
      <c r="G103" s="102"/>
      <c r="H103" s="103"/>
    </row>
    <row r="104" spans="1:8" ht="11.25">
      <c r="A104" s="7" t="s">
        <v>59</v>
      </c>
      <c r="B104" s="92" t="s">
        <v>31</v>
      </c>
      <c r="C104" s="92" t="s">
        <v>10</v>
      </c>
      <c r="D104" s="92" t="s">
        <v>8</v>
      </c>
      <c r="E104" s="92" t="s">
        <v>11</v>
      </c>
      <c r="F104" s="106">
        <f>F105</f>
        <v>101590796.62</v>
      </c>
      <c r="G104" s="94"/>
      <c r="H104" s="95"/>
    </row>
    <row r="105" spans="1:8" ht="22.5" customHeight="1">
      <c r="A105" s="6" t="s">
        <v>294</v>
      </c>
      <c r="B105" s="96" t="s">
        <v>31</v>
      </c>
      <c r="C105" s="96" t="s">
        <v>27</v>
      </c>
      <c r="D105" s="96" t="s">
        <v>8</v>
      </c>
      <c r="E105" s="96" t="s">
        <v>11</v>
      </c>
      <c r="F105" s="97">
        <f>F106+F108+F110+F112</f>
        <v>101590796.62</v>
      </c>
      <c r="G105" s="98"/>
      <c r="H105" s="99"/>
    </row>
    <row r="106" spans="1:8" ht="22.5">
      <c r="A106" s="4" t="s">
        <v>386</v>
      </c>
      <c r="B106" s="100" t="s">
        <v>31</v>
      </c>
      <c r="C106" s="100" t="s">
        <v>27</v>
      </c>
      <c r="D106" s="100" t="s">
        <v>256</v>
      </c>
      <c r="E106" s="100" t="s">
        <v>11</v>
      </c>
      <c r="F106" s="101">
        <f>F107</f>
        <v>420000</v>
      </c>
      <c r="G106" s="102"/>
      <c r="H106" s="103"/>
    </row>
    <row r="107" spans="1:8" ht="22.5">
      <c r="A107" s="4" t="s">
        <v>18</v>
      </c>
      <c r="B107" s="100" t="s">
        <v>31</v>
      </c>
      <c r="C107" s="100" t="s">
        <v>27</v>
      </c>
      <c r="D107" s="100" t="s">
        <v>256</v>
      </c>
      <c r="E107" s="100" t="s">
        <v>154</v>
      </c>
      <c r="F107" s="101">
        <v>420000</v>
      </c>
      <c r="G107" s="102"/>
      <c r="H107" s="103"/>
    </row>
    <row r="108" spans="1:8" ht="11.25">
      <c r="A108" s="4" t="s">
        <v>218</v>
      </c>
      <c r="B108" s="100" t="s">
        <v>31</v>
      </c>
      <c r="C108" s="100" t="s">
        <v>27</v>
      </c>
      <c r="D108" s="100" t="s">
        <v>253</v>
      </c>
      <c r="E108" s="100" t="s">
        <v>11</v>
      </c>
      <c r="F108" s="108">
        <f>F109</f>
        <v>141190.5</v>
      </c>
      <c r="G108" s="102"/>
      <c r="H108" s="103"/>
    </row>
    <row r="109" spans="1:8" ht="11.25">
      <c r="A109" s="4" t="s">
        <v>219</v>
      </c>
      <c r="B109" s="100" t="s">
        <v>31</v>
      </c>
      <c r="C109" s="100" t="s">
        <v>27</v>
      </c>
      <c r="D109" s="100" t="s">
        <v>253</v>
      </c>
      <c r="E109" s="100" t="s">
        <v>203</v>
      </c>
      <c r="F109" s="108">
        <v>141190.5</v>
      </c>
      <c r="G109" s="102"/>
      <c r="H109" s="103"/>
    </row>
    <row r="110" spans="1:8" s="105" customFormat="1" ht="43.5" customHeight="1">
      <c r="A110" s="28" t="s">
        <v>387</v>
      </c>
      <c r="B110" s="104" t="s">
        <v>31</v>
      </c>
      <c r="C110" s="104" t="s">
        <v>27</v>
      </c>
      <c r="D110" s="104" t="s">
        <v>270</v>
      </c>
      <c r="E110" s="104" t="s">
        <v>11</v>
      </c>
      <c r="F110" s="101">
        <f>F111</f>
        <v>101000000</v>
      </c>
      <c r="G110" s="102"/>
      <c r="H110" s="103"/>
    </row>
    <row r="111" spans="1:8" s="105" customFormat="1" ht="11.25">
      <c r="A111" s="28" t="s">
        <v>219</v>
      </c>
      <c r="B111" s="104" t="s">
        <v>31</v>
      </c>
      <c r="C111" s="104" t="s">
        <v>27</v>
      </c>
      <c r="D111" s="104" t="s">
        <v>270</v>
      </c>
      <c r="E111" s="104" t="s">
        <v>203</v>
      </c>
      <c r="F111" s="101">
        <v>101000000</v>
      </c>
      <c r="G111" s="102"/>
      <c r="H111" s="103"/>
    </row>
    <row r="112" spans="1:8" s="105" customFormat="1" ht="22.5">
      <c r="A112" s="28" t="s">
        <v>221</v>
      </c>
      <c r="B112" s="104" t="s">
        <v>31</v>
      </c>
      <c r="C112" s="104" t="s">
        <v>27</v>
      </c>
      <c r="D112" s="104" t="s">
        <v>51</v>
      </c>
      <c r="E112" s="104" t="s">
        <v>11</v>
      </c>
      <c r="F112" s="101">
        <f>F113</f>
        <v>29606.12</v>
      </c>
      <c r="G112" s="102"/>
      <c r="H112" s="103"/>
    </row>
    <row r="113" spans="1:8" s="105" customFormat="1" ht="11.25">
      <c r="A113" s="28" t="s">
        <v>219</v>
      </c>
      <c r="B113" s="104" t="s">
        <v>31</v>
      </c>
      <c r="C113" s="104" t="s">
        <v>27</v>
      </c>
      <c r="D113" s="104" t="s">
        <v>51</v>
      </c>
      <c r="E113" s="104" t="s">
        <v>203</v>
      </c>
      <c r="F113" s="101">
        <v>29606.12</v>
      </c>
      <c r="G113" s="102"/>
      <c r="H113" s="103"/>
    </row>
    <row r="114" spans="1:8" s="105" customFormat="1" ht="11.25">
      <c r="A114" s="61" t="s">
        <v>60</v>
      </c>
      <c r="B114" s="111" t="s">
        <v>61</v>
      </c>
      <c r="C114" s="111" t="s">
        <v>10</v>
      </c>
      <c r="D114" s="111" t="s">
        <v>8</v>
      </c>
      <c r="E114" s="111" t="s">
        <v>11</v>
      </c>
      <c r="F114" s="112">
        <f>F115+F130+F155</f>
        <v>355387186.17</v>
      </c>
      <c r="G114" s="94"/>
      <c r="H114" s="95"/>
    </row>
    <row r="115" spans="1:8" s="105" customFormat="1" ht="11.25">
      <c r="A115" s="56" t="s">
        <v>62</v>
      </c>
      <c r="B115" s="107" t="s">
        <v>63</v>
      </c>
      <c r="C115" s="107" t="s">
        <v>9</v>
      </c>
      <c r="D115" s="107" t="s">
        <v>8</v>
      </c>
      <c r="E115" s="107" t="s">
        <v>11</v>
      </c>
      <c r="F115" s="113">
        <f>F116+F118+F120+F122+F124+F126+F128</f>
        <v>93080318.83000001</v>
      </c>
      <c r="G115" s="98"/>
      <c r="H115" s="99"/>
    </row>
    <row r="116" spans="1:8" s="105" customFormat="1" ht="22.5">
      <c r="A116" s="28" t="s">
        <v>64</v>
      </c>
      <c r="B116" s="104" t="s">
        <v>63</v>
      </c>
      <c r="C116" s="104" t="s">
        <v>9</v>
      </c>
      <c r="D116" s="104" t="s">
        <v>65</v>
      </c>
      <c r="E116" s="104" t="s">
        <v>11</v>
      </c>
      <c r="F116" s="101">
        <f>F117</f>
        <v>75693716.93</v>
      </c>
      <c r="G116" s="102"/>
      <c r="H116" s="103"/>
    </row>
    <row r="117" spans="1:8" s="105" customFormat="1" ht="22.5">
      <c r="A117" s="28" t="s">
        <v>38</v>
      </c>
      <c r="B117" s="104" t="s">
        <v>63</v>
      </c>
      <c r="C117" s="104" t="s">
        <v>9</v>
      </c>
      <c r="D117" s="104" t="s">
        <v>65</v>
      </c>
      <c r="E117" s="104" t="s">
        <v>39</v>
      </c>
      <c r="F117" s="101">
        <v>75693716.93</v>
      </c>
      <c r="G117" s="102"/>
      <c r="H117" s="103"/>
    </row>
    <row r="118" spans="1:8" s="105" customFormat="1" ht="22.5">
      <c r="A118" s="28" t="s">
        <v>64</v>
      </c>
      <c r="B118" s="104" t="s">
        <v>63</v>
      </c>
      <c r="C118" s="104" t="s">
        <v>9</v>
      </c>
      <c r="D118" s="104" t="s">
        <v>65</v>
      </c>
      <c r="E118" s="104" t="s">
        <v>11</v>
      </c>
      <c r="F118" s="101">
        <f>F119</f>
        <v>75240.93</v>
      </c>
      <c r="G118" s="102"/>
      <c r="H118" s="103"/>
    </row>
    <row r="119" spans="1:8" s="105" customFormat="1" ht="33.75">
      <c r="A119" s="28" t="s">
        <v>388</v>
      </c>
      <c r="B119" s="104" t="s">
        <v>63</v>
      </c>
      <c r="C119" s="104" t="s">
        <v>9</v>
      </c>
      <c r="D119" s="104" t="s">
        <v>65</v>
      </c>
      <c r="E119" s="104" t="s">
        <v>134</v>
      </c>
      <c r="F119" s="101">
        <v>75240.93</v>
      </c>
      <c r="G119" s="102"/>
      <c r="H119" s="103"/>
    </row>
    <row r="120" spans="1:8" s="105" customFormat="1" ht="33.75">
      <c r="A120" s="28" t="s">
        <v>389</v>
      </c>
      <c r="B120" s="104" t="s">
        <v>63</v>
      </c>
      <c r="C120" s="104" t="s">
        <v>9</v>
      </c>
      <c r="D120" s="104" t="s">
        <v>341</v>
      </c>
      <c r="E120" s="104" t="s">
        <v>11</v>
      </c>
      <c r="F120" s="101">
        <f>F121</f>
        <v>4794102.48</v>
      </c>
      <c r="G120" s="102"/>
      <c r="H120" s="103"/>
    </row>
    <row r="121" spans="1:8" s="105" customFormat="1" ht="22.5">
      <c r="A121" s="28" t="s">
        <v>38</v>
      </c>
      <c r="B121" s="104" t="s">
        <v>63</v>
      </c>
      <c r="C121" s="104" t="s">
        <v>9</v>
      </c>
      <c r="D121" s="104" t="s">
        <v>341</v>
      </c>
      <c r="E121" s="104" t="s">
        <v>39</v>
      </c>
      <c r="F121" s="101">
        <v>4794102.48</v>
      </c>
      <c r="G121" s="102"/>
      <c r="H121" s="103"/>
    </row>
    <row r="122" spans="1:8" s="105" customFormat="1" ht="45">
      <c r="A122" s="28" t="s">
        <v>390</v>
      </c>
      <c r="B122" s="104" t="s">
        <v>63</v>
      </c>
      <c r="C122" s="104" t="s">
        <v>9</v>
      </c>
      <c r="D122" s="104" t="s">
        <v>342</v>
      </c>
      <c r="E122" s="104" t="s">
        <v>11</v>
      </c>
      <c r="F122" s="101">
        <f>F123</f>
        <v>514400</v>
      </c>
      <c r="G122" s="102"/>
      <c r="H122" s="103"/>
    </row>
    <row r="123" spans="1:8" s="105" customFormat="1" ht="22.5">
      <c r="A123" s="28" t="s">
        <v>38</v>
      </c>
      <c r="B123" s="104" t="s">
        <v>63</v>
      </c>
      <c r="C123" s="104" t="s">
        <v>9</v>
      </c>
      <c r="D123" s="104" t="s">
        <v>342</v>
      </c>
      <c r="E123" s="104" t="s">
        <v>39</v>
      </c>
      <c r="F123" s="101">
        <v>514400</v>
      </c>
      <c r="G123" s="102"/>
      <c r="H123" s="103"/>
    </row>
    <row r="124" spans="1:8" s="105" customFormat="1" ht="45">
      <c r="A124" s="28" t="s">
        <v>390</v>
      </c>
      <c r="B124" s="104" t="s">
        <v>63</v>
      </c>
      <c r="C124" s="104" t="s">
        <v>9</v>
      </c>
      <c r="D124" s="104" t="s">
        <v>342</v>
      </c>
      <c r="E124" s="104" t="s">
        <v>11</v>
      </c>
      <c r="F124" s="101">
        <f>F125</f>
        <v>2302657.54</v>
      </c>
      <c r="G124" s="102"/>
      <c r="H124" s="103"/>
    </row>
    <row r="125" spans="1:8" s="105" customFormat="1" ht="22.5">
      <c r="A125" s="28" t="s">
        <v>18</v>
      </c>
      <c r="B125" s="104" t="s">
        <v>63</v>
      </c>
      <c r="C125" s="104" t="s">
        <v>9</v>
      </c>
      <c r="D125" s="104" t="s">
        <v>342</v>
      </c>
      <c r="E125" s="104" t="s">
        <v>154</v>
      </c>
      <c r="F125" s="101">
        <v>2302657.54</v>
      </c>
      <c r="G125" s="102"/>
      <c r="H125" s="103"/>
    </row>
    <row r="126" spans="1:8" s="105" customFormat="1" ht="90">
      <c r="A126" s="28" t="s">
        <v>391</v>
      </c>
      <c r="B126" s="104" t="s">
        <v>63</v>
      </c>
      <c r="C126" s="104" t="s">
        <v>9</v>
      </c>
      <c r="D126" s="104" t="s">
        <v>343</v>
      </c>
      <c r="E126" s="104" t="s">
        <v>11</v>
      </c>
      <c r="F126" s="101">
        <f>F127</f>
        <v>4389969.74</v>
      </c>
      <c r="G126" s="102"/>
      <c r="H126" s="103"/>
    </row>
    <row r="127" spans="1:8" s="105" customFormat="1" ht="22.5">
      <c r="A127" s="28" t="s">
        <v>38</v>
      </c>
      <c r="B127" s="104" t="s">
        <v>63</v>
      </c>
      <c r="C127" s="104" t="s">
        <v>9</v>
      </c>
      <c r="D127" s="104" t="s">
        <v>343</v>
      </c>
      <c r="E127" s="104" t="s">
        <v>39</v>
      </c>
      <c r="F127" s="101">
        <v>4389969.74</v>
      </c>
      <c r="G127" s="102"/>
      <c r="H127" s="103"/>
    </row>
    <row r="128" spans="1:8" s="105" customFormat="1" ht="24.75" customHeight="1">
      <c r="A128" s="28" t="s">
        <v>236</v>
      </c>
      <c r="B128" s="104" t="s">
        <v>63</v>
      </c>
      <c r="C128" s="104" t="s">
        <v>9</v>
      </c>
      <c r="D128" s="104" t="s">
        <v>254</v>
      </c>
      <c r="E128" s="104" t="s">
        <v>11</v>
      </c>
      <c r="F128" s="101">
        <f>F129</f>
        <v>5310231.21</v>
      </c>
      <c r="G128" s="102"/>
      <c r="H128" s="103"/>
    </row>
    <row r="129" spans="1:8" s="105" customFormat="1" ht="22.5">
      <c r="A129" s="28" t="s">
        <v>38</v>
      </c>
      <c r="B129" s="104" t="s">
        <v>63</v>
      </c>
      <c r="C129" s="104" t="s">
        <v>9</v>
      </c>
      <c r="D129" s="104" t="s">
        <v>254</v>
      </c>
      <c r="E129" s="104" t="s">
        <v>39</v>
      </c>
      <c r="F129" s="101">
        <v>5310231.21</v>
      </c>
      <c r="G129" s="102"/>
      <c r="H129" s="103"/>
    </row>
    <row r="130" spans="1:8" ht="11.25">
      <c r="A130" s="6" t="s">
        <v>66</v>
      </c>
      <c r="B130" s="96" t="s">
        <v>63</v>
      </c>
      <c r="C130" s="96" t="s">
        <v>13</v>
      </c>
      <c r="D130" s="96" t="s">
        <v>8</v>
      </c>
      <c r="E130" s="96" t="s">
        <v>11</v>
      </c>
      <c r="F130" s="97">
        <f>F131+F133+F135+F137+F139+F141+F143+F145+F147+F149+F151+F153</f>
        <v>246932509.78</v>
      </c>
      <c r="G130" s="102"/>
      <c r="H130" s="103"/>
    </row>
    <row r="131" spans="1:8" ht="22.5">
      <c r="A131" s="4" t="s">
        <v>64</v>
      </c>
      <c r="B131" s="100" t="s">
        <v>63</v>
      </c>
      <c r="C131" s="100" t="s">
        <v>13</v>
      </c>
      <c r="D131" s="100" t="s">
        <v>67</v>
      </c>
      <c r="E131" s="100" t="s">
        <v>11</v>
      </c>
      <c r="F131" s="108">
        <f>F132</f>
        <v>30649601.37</v>
      </c>
      <c r="G131" s="102"/>
      <c r="H131" s="103"/>
    </row>
    <row r="132" spans="1:8" ht="22.5">
      <c r="A132" s="28" t="s">
        <v>38</v>
      </c>
      <c r="B132" s="100" t="s">
        <v>63</v>
      </c>
      <c r="C132" s="100" t="s">
        <v>13</v>
      </c>
      <c r="D132" s="100" t="s">
        <v>67</v>
      </c>
      <c r="E132" s="100" t="s">
        <v>39</v>
      </c>
      <c r="F132" s="101">
        <v>30649601.37</v>
      </c>
      <c r="G132" s="102"/>
      <c r="H132" s="103"/>
    </row>
    <row r="133" spans="1:8" s="105" customFormat="1" ht="56.25">
      <c r="A133" s="28" t="s">
        <v>170</v>
      </c>
      <c r="B133" s="104" t="s">
        <v>63</v>
      </c>
      <c r="C133" s="104" t="s">
        <v>13</v>
      </c>
      <c r="D133" s="104" t="s">
        <v>344</v>
      </c>
      <c r="E133" s="104" t="s">
        <v>11</v>
      </c>
      <c r="F133" s="101">
        <f>F134</f>
        <v>5196316.88</v>
      </c>
      <c r="G133" s="102"/>
      <c r="H133" s="103"/>
    </row>
    <row r="134" spans="1:8" s="105" customFormat="1" ht="25.5" customHeight="1">
      <c r="A134" s="28" t="s">
        <v>38</v>
      </c>
      <c r="B134" s="104" t="s">
        <v>63</v>
      </c>
      <c r="C134" s="104" t="s">
        <v>167</v>
      </c>
      <c r="D134" s="104" t="s">
        <v>344</v>
      </c>
      <c r="E134" s="104" t="s">
        <v>39</v>
      </c>
      <c r="F134" s="101">
        <v>5196316.88</v>
      </c>
      <c r="G134" s="102"/>
      <c r="H134" s="103"/>
    </row>
    <row r="135" spans="1:8" s="105" customFormat="1" ht="90">
      <c r="A135" s="28" t="s">
        <v>391</v>
      </c>
      <c r="B135" s="104" t="s">
        <v>63</v>
      </c>
      <c r="C135" s="104" t="s">
        <v>13</v>
      </c>
      <c r="D135" s="104" t="s">
        <v>345</v>
      </c>
      <c r="E135" s="104" t="s">
        <v>11</v>
      </c>
      <c r="F135" s="101">
        <f>F136</f>
        <v>11477153.76</v>
      </c>
      <c r="G135" s="102"/>
      <c r="H135" s="103"/>
    </row>
    <row r="136" spans="1:8" s="105" customFormat="1" ht="24.75" customHeight="1">
      <c r="A136" s="28" t="s">
        <v>38</v>
      </c>
      <c r="B136" s="104" t="s">
        <v>63</v>
      </c>
      <c r="C136" s="104" t="s">
        <v>13</v>
      </c>
      <c r="D136" s="104" t="s">
        <v>345</v>
      </c>
      <c r="E136" s="104" t="s">
        <v>39</v>
      </c>
      <c r="F136" s="101">
        <v>11477153.76</v>
      </c>
      <c r="G136" s="102"/>
      <c r="H136" s="103"/>
    </row>
    <row r="137" spans="1:8" s="105" customFormat="1" ht="45">
      <c r="A137" s="28" t="s">
        <v>392</v>
      </c>
      <c r="B137" s="104" t="s">
        <v>63</v>
      </c>
      <c r="C137" s="104" t="s">
        <v>13</v>
      </c>
      <c r="D137" s="104" t="s">
        <v>346</v>
      </c>
      <c r="E137" s="104" t="s">
        <v>11</v>
      </c>
      <c r="F137" s="101">
        <f>F138</f>
        <v>364746.12</v>
      </c>
      <c r="G137" s="102"/>
      <c r="H137" s="103"/>
    </row>
    <row r="138" spans="1:8" s="105" customFormat="1" ht="23.25" customHeight="1">
      <c r="A138" s="28" t="s">
        <v>38</v>
      </c>
      <c r="B138" s="104" t="s">
        <v>63</v>
      </c>
      <c r="C138" s="104" t="s">
        <v>13</v>
      </c>
      <c r="D138" s="104" t="s">
        <v>346</v>
      </c>
      <c r="E138" s="104" t="s">
        <v>39</v>
      </c>
      <c r="F138" s="101">
        <v>364746.12</v>
      </c>
      <c r="G138" s="102"/>
      <c r="H138" s="103"/>
    </row>
    <row r="139" spans="1:8" s="105" customFormat="1" ht="78.75">
      <c r="A139" s="28" t="s">
        <v>393</v>
      </c>
      <c r="B139" s="104" t="s">
        <v>61</v>
      </c>
      <c r="C139" s="104" t="s">
        <v>13</v>
      </c>
      <c r="D139" s="104" t="s">
        <v>347</v>
      </c>
      <c r="E139" s="104" t="s">
        <v>11</v>
      </c>
      <c r="F139" s="101">
        <f>F140</f>
        <v>133854151.59</v>
      </c>
      <c r="G139" s="102"/>
      <c r="H139" s="103"/>
    </row>
    <row r="140" spans="1:8" s="105" customFormat="1" ht="22.5">
      <c r="A140" s="28" t="s">
        <v>38</v>
      </c>
      <c r="B140" s="104" t="s">
        <v>63</v>
      </c>
      <c r="C140" s="104" t="s">
        <v>13</v>
      </c>
      <c r="D140" s="104" t="s">
        <v>347</v>
      </c>
      <c r="E140" s="104" t="s">
        <v>39</v>
      </c>
      <c r="F140" s="101">
        <v>133854151.59</v>
      </c>
      <c r="G140" s="102"/>
      <c r="H140" s="103"/>
    </row>
    <row r="141" spans="1:8" s="105" customFormat="1" ht="45">
      <c r="A141" s="28" t="s">
        <v>392</v>
      </c>
      <c r="B141" s="104" t="s">
        <v>63</v>
      </c>
      <c r="C141" s="104" t="s">
        <v>13</v>
      </c>
      <c r="D141" s="104" t="s">
        <v>348</v>
      </c>
      <c r="E141" s="104" t="s">
        <v>273</v>
      </c>
      <c r="F141" s="101">
        <f>F142</f>
        <v>23700</v>
      </c>
      <c r="G141" s="102"/>
      <c r="H141" s="103"/>
    </row>
    <row r="142" spans="1:8" s="105" customFormat="1" ht="22.5">
      <c r="A142" s="28" t="s">
        <v>38</v>
      </c>
      <c r="B142" s="104" t="s">
        <v>63</v>
      </c>
      <c r="C142" s="104" t="s">
        <v>13</v>
      </c>
      <c r="D142" s="104" t="s">
        <v>348</v>
      </c>
      <c r="E142" s="104" t="s">
        <v>39</v>
      </c>
      <c r="F142" s="101">
        <v>23700</v>
      </c>
      <c r="G142" s="102"/>
      <c r="H142" s="103"/>
    </row>
    <row r="143" spans="1:8" s="105" customFormat="1" ht="72.75" customHeight="1">
      <c r="A143" s="28" t="s">
        <v>394</v>
      </c>
      <c r="B143" s="104" t="s">
        <v>63</v>
      </c>
      <c r="C143" s="104" t="s">
        <v>13</v>
      </c>
      <c r="D143" s="104" t="s">
        <v>349</v>
      </c>
      <c r="E143" s="104" t="s">
        <v>11</v>
      </c>
      <c r="F143" s="101">
        <f>F144</f>
        <v>35619967.43</v>
      </c>
      <c r="G143" s="102"/>
      <c r="H143" s="103"/>
    </row>
    <row r="144" spans="1:8" s="105" customFormat="1" ht="22.5">
      <c r="A144" s="28" t="s">
        <v>38</v>
      </c>
      <c r="B144" s="104" t="s">
        <v>63</v>
      </c>
      <c r="C144" s="104" t="s">
        <v>13</v>
      </c>
      <c r="D144" s="104" t="s">
        <v>349</v>
      </c>
      <c r="E144" s="104" t="s">
        <v>39</v>
      </c>
      <c r="F144" s="101">
        <v>35619967.43</v>
      </c>
      <c r="G144" s="102"/>
      <c r="H144" s="103"/>
    </row>
    <row r="145" spans="1:8" s="105" customFormat="1" ht="22.5">
      <c r="A145" s="28" t="s">
        <v>64</v>
      </c>
      <c r="B145" s="104" t="s">
        <v>63</v>
      </c>
      <c r="C145" s="104" t="s">
        <v>13</v>
      </c>
      <c r="D145" s="104" t="s">
        <v>70</v>
      </c>
      <c r="E145" s="104" t="s">
        <v>11</v>
      </c>
      <c r="F145" s="101">
        <f>F146</f>
        <v>21663944.36</v>
      </c>
      <c r="G145" s="102"/>
      <c r="H145" s="103"/>
    </row>
    <row r="146" spans="1:8" s="105" customFormat="1" ht="22.5">
      <c r="A146" s="28" t="s">
        <v>38</v>
      </c>
      <c r="B146" s="104" t="s">
        <v>63</v>
      </c>
      <c r="C146" s="104" t="s">
        <v>13</v>
      </c>
      <c r="D146" s="104" t="s">
        <v>70</v>
      </c>
      <c r="E146" s="104" t="s">
        <v>39</v>
      </c>
      <c r="F146" s="101">
        <v>21663944.36</v>
      </c>
      <c r="G146" s="102"/>
      <c r="H146" s="103"/>
    </row>
    <row r="147" spans="1:8" s="105" customFormat="1" ht="90">
      <c r="A147" s="28" t="s">
        <v>391</v>
      </c>
      <c r="B147" s="104" t="s">
        <v>63</v>
      </c>
      <c r="C147" s="104" t="s">
        <v>13</v>
      </c>
      <c r="D147" s="104" t="s">
        <v>350</v>
      </c>
      <c r="E147" s="104" t="s">
        <v>11</v>
      </c>
      <c r="F147" s="101">
        <f>F148</f>
        <v>345000</v>
      </c>
      <c r="G147" s="102"/>
      <c r="H147" s="103"/>
    </row>
    <row r="148" spans="1:8" s="105" customFormat="1" ht="22.5">
      <c r="A148" s="28" t="s">
        <v>38</v>
      </c>
      <c r="B148" s="104" t="s">
        <v>63</v>
      </c>
      <c r="C148" s="104" t="s">
        <v>13</v>
      </c>
      <c r="D148" s="104" t="s">
        <v>350</v>
      </c>
      <c r="E148" s="104" t="s">
        <v>39</v>
      </c>
      <c r="F148" s="101">
        <f>233100+111900</f>
        <v>345000</v>
      </c>
      <c r="G148" s="102"/>
      <c r="H148" s="103"/>
    </row>
    <row r="149" spans="1:8" s="105" customFormat="1" ht="45">
      <c r="A149" s="28" t="s">
        <v>436</v>
      </c>
      <c r="B149" s="104" t="s">
        <v>63</v>
      </c>
      <c r="C149" s="104" t="s">
        <v>13</v>
      </c>
      <c r="D149" s="104" t="s">
        <v>428</v>
      </c>
      <c r="E149" s="104" t="s">
        <v>11</v>
      </c>
      <c r="F149" s="101">
        <f>F150</f>
        <v>1300000</v>
      </c>
      <c r="G149" s="102"/>
      <c r="H149" s="103"/>
    </row>
    <row r="150" spans="1:8" s="105" customFormat="1" ht="22.5">
      <c r="A150" s="28" t="s">
        <v>38</v>
      </c>
      <c r="B150" s="104" t="s">
        <v>63</v>
      </c>
      <c r="C150" s="104" t="s">
        <v>13</v>
      </c>
      <c r="D150" s="104" t="s">
        <v>428</v>
      </c>
      <c r="E150" s="104" t="s">
        <v>39</v>
      </c>
      <c r="F150" s="101">
        <v>1300000</v>
      </c>
      <c r="G150" s="102"/>
      <c r="H150" s="103"/>
    </row>
    <row r="151" spans="1:8" s="105" customFormat="1" ht="35.25" customHeight="1">
      <c r="A151" s="28" t="s">
        <v>395</v>
      </c>
      <c r="B151" s="104" t="s">
        <v>63</v>
      </c>
      <c r="C151" s="104" t="s">
        <v>13</v>
      </c>
      <c r="D151" s="104" t="s">
        <v>149</v>
      </c>
      <c r="E151" s="104" t="s">
        <v>11</v>
      </c>
      <c r="F151" s="101">
        <f>F152</f>
        <v>6025428.27</v>
      </c>
      <c r="G151" s="102"/>
      <c r="H151" s="103"/>
    </row>
    <row r="152" spans="1:8" s="105" customFormat="1" ht="22.5">
      <c r="A152" s="28" t="s">
        <v>38</v>
      </c>
      <c r="B152" s="104" t="s">
        <v>63</v>
      </c>
      <c r="C152" s="104" t="s">
        <v>13</v>
      </c>
      <c r="D152" s="104" t="s">
        <v>149</v>
      </c>
      <c r="E152" s="104" t="s">
        <v>39</v>
      </c>
      <c r="F152" s="101">
        <v>6025428.27</v>
      </c>
      <c r="G152" s="102"/>
      <c r="H152" s="103"/>
    </row>
    <row r="153" spans="1:8" s="105" customFormat="1" ht="37.5" customHeight="1">
      <c r="A153" s="28" t="s">
        <v>328</v>
      </c>
      <c r="B153" s="104" t="s">
        <v>63</v>
      </c>
      <c r="C153" s="104" t="s">
        <v>13</v>
      </c>
      <c r="D153" s="104" t="s">
        <v>321</v>
      </c>
      <c r="E153" s="104" t="s">
        <v>11</v>
      </c>
      <c r="F153" s="101">
        <f>F154</f>
        <v>412500</v>
      </c>
      <c r="G153" s="102"/>
      <c r="H153" s="103"/>
    </row>
    <row r="154" spans="1:8" s="105" customFormat="1" ht="22.5">
      <c r="A154" s="28" t="s">
        <v>38</v>
      </c>
      <c r="B154" s="104" t="s">
        <v>63</v>
      </c>
      <c r="C154" s="104" t="s">
        <v>13</v>
      </c>
      <c r="D154" s="104" t="s">
        <v>321</v>
      </c>
      <c r="E154" s="104" t="s">
        <v>39</v>
      </c>
      <c r="F154" s="101">
        <v>412500</v>
      </c>
      <c r="G154" s="102"/>
      <c r="H154" s="103"/>
    </row>
    <row r="155" spans="1:8" ht="22.5">
      <c r="A155" s="6" t="s">
        <v>71</v>
      </c>
      <c r="B155" s="96" t="s">
        <v>63</v>
      </c>
      <c r="C155" s="96" t="s">
        <v>72</v>
      </c>
      <c r="D155" s="96" t="s">
        <v>8</v>
      </c>
      <c r="E155" s="96" t="s">
        <v>11</v>
      </c>
      <c r="F155" s="97">
        <f>F156+F158+F160+F162+F164+F166</f>
        <v>15374357.559999999</v>
      </c>
      <c r="G155" s="102"/>
      <c r="H155" s="103"/>
    </row>
    <row r="156" spans="1:8" s="105" customFormat="1" ht="11.25">
      <c r="A156" s="28" t="s">
        <v>20</v>
      </c>
      <c r="B156" s="104" t="s">
        <v>63</v>
      </c>
      <c r="C156" s="104" t="s">
        <v>72</v>
      </c>
      <c r="D156" s="104" t="s">
        <v>21</v>
      </c>
      <c r="E156" s="104" t="s">
        <v>11</v>
      </c>
      <c r="F156" s="101">
        <f>F157</f>
        <v>1731260.38</v>
      </c>
      <c r="G156" s="102"/>
      <c r="H156" s="103"/>
    </row>
    <row r="157" spans="1:8" s="105" customFormat="1" ht="22.5">
      <c r="A157" s="28" t="s">
        <v>18</v>
      </c>
      <c r="B157" s="104" t="s">
        <v>63</v>
      </c>
      <c r="C157" s="104" t="s">
        <v>72</v>
      </c>
      <c r="D157" s="104" t="s">
        <v>21</v>
      </c>
      <c r="E157" s="104" t="s">
        <v>154</v>
      </c>
      <c r="F157" s="101">
        <v>1731260.38</v>
      </c>
      <c r="G157" s="102"/>
      <c r="H157" s="103"/>
    </row>
    <row r="158" spans="1:8" s="105" customFormat="1" ht="27.75" customHeight="1">
      <c r="A158" s="28" t="s">
        <v>64</v>
      </c>
      <c r="B158" s="104" t="s">
        <v>63</v>
      </c>
      <c r="C158" s="104" t="s">
        <v>72</v>
      </c>
      <c r="D158" s="104" t="s">
        <v>80</v>
      </c>
      <c r="E158" s="104" t="s">
        <v>11</v>
      </c>
      <c r="F158" s="101">
        <f>F159</f>
        <v>8993100.68</v>
      </c>
      <c r="G158" s="102"/>
      <c r="H158" s="103"/>
    </row>
    <row r="159" spans="1:8" s="105" customFormat="1" ht="27" customHeight="1">
      <c r="A159" s="28" t="s">
        <v>38</v>
      </c>
      <c r="B159" s="104" t="s">
        <v>63</v>
      </c>
      <c r="C159" s="104" t="s">
        <v>72</v>
      </c>
      <c r="D159" s="104" t="s">
        <v>80</v>
      </c>
      <c r="E159" s="104" t="s">
        <v>39</v>
      </c>
      <c r="F159" s="101">
        <v>8993100.68</v>
      </c>
      <c r="G159" s="102"/>
      <c r="H159" s="103"/>
    </row>
    <row r="160" spans="1:8" s="105" customFormat="1" ht="90">
      <c r="A160" s="28" t="s">
        <v>391</v>
      </c>
      <c r="B160" s="104" t="s">
        <v>61</v>
      </c>
      <c r="C160" s="104" t="s">
        <v>72</v>
      </c>
      <c r="D160" s="104" t="s">
        <v>351</v>
      </c>
      <c r="E160" s="104" t="s">
        <v>11</v>
      </c>
      <c r="F160" s="101">
        <f>F161</f>
        <v>337000</v>
      </c>
      <c r="G160" s="102"/>
      <c r="H160" s="103"/>
    </row>
    <row r="161" spans="1:8" s="105" customFormat="1" ht="22.5">
      <c r="A161" s="28" t="s">
        <v>38</v>
      </c>
      <c r="B161" s="104" t="s">
        <v>63</v>
      </c>
      <c r="C161" s="104" t="s">
        <v>72</v>
      </c>
      <c r="D161" s="104" t="s">
        <v>351</v>
      </c>
      <c r="E161" s="104" t="s">
        <v>39</v>
      </c>
      <c r="F161" s="101">
        <v>337000</v>
      </c>
      <c r="G161" s="102"/>
      <c r="H161" s="103"/>
    </row>
    <row r="162" spans="1:8" s="105" customFormat="1" ht="26.25" customHeight="1">
      <c r="A162" s="28" t="s">
        <v>236</v>
      </c>
      <c r="B162" s="104" t="s">
        <v>63</v>
      </c>
      <c r="C162" s="104" t="s">
        <v>72</v>
      </c>
      <c r="D162" s="104" t="s">
        <v>254</v>
      </c>
      <c r="E162" s="104" t="s">
        <v>11</v>
      </c>
      <c r="F162" s="101">
        <f>F163</f>
        <v>0</v>
      </c>
      <c r="G162" s="102"/>
      <c r="H162" s="103"/>
    </row>
    <row r="163" spans="1:8" s="105" customFormat="1" ht="22.5" customHeight="1">
      <c r="A163" s="28" t="s">
        <v>38</v>
      </c>
      <c r="B163" s="104" t="s">
        <v>63</v>
      </c>
      <c r="C163" s="104" t="s">
        <v>72</v>
      </c>
      <c r="D163" s="104" t="s">
        <v>254</v>
      </c>
      <c r="E163" s="104" t="s">
        <v>39</v>
      </c>
      <c r="F163" s="101">
        <v>0</v>
      </c>
      <c r="G163" s="102"/>
      <c r="H163" s="103"/>
    </row>
    <row r="164" spans="1:8" s="105" customFormat="1" ht="36.75" customHeight="1">
      <c r="A164" s="28" t="s">
        <v>220</v>
      </c>
      <c r="B164" s="104" t="s">
        <v>63</v>
      </c>
      <c r="C164" s="104" t="s">
        <v>72</v>
      </c>
      <c r="D164" s="104" t="s">
        <v>255</v>
      </c>
      <c r="E164" s="104" t="s">
        <v>11</v>
      </c>
      <c r="F164" s="101">
        <f>F165</f>
        <v>244471.7</v>
      </c>
      <c r="G164" s="102"/>
      <c r="H164" s="103"/>
    </row>
    <row r="165" spans="1:8" s="105" customFormat="1" ht="24.75" customHeight="1">
      <c r="A165" s="28" t="s">
        <v>38</v>
      </c>
      <c r="B165" s="104" t="s">
        <v>63</v>
      </c>
      <c r="C165" s="104" t="s">
        <v>72</v>
      </c>
      <c r="D165" s="104" t="s">
        <v>255</v>
      </c>
      <c r="E165" s="104" t="s">
        <v>39</v>
      </c>
      <c r="F165" s="101">
        <v>244471.7</v>
      </c>
      <c r="G165" s="102"/>
      <c r="H165" s="103"/>
    </row>
    <row r="166" spans="1:8" s="105" customFormat="1" ht="22.5">
      <c r="A166" s="28" t="s">
        <v>58</v>
      </c>
      <c r="B166" s="104" t="s">
        <v>63</v>
      </c>
      <c r="C166" s="104" t="s">
        <v>72</v>
      </c>
      <c r="D166" s="104" t="s">
        <v>51</v>
      </c>
      <c r="E166" s="104" t="s">
        <v>11</v>
      </c>
      <c r="F166" s="101">
        <f>F167</f>
        <v>4068524.8</v>
      </c>
      <c r="G166" s="102"/>
      <c r="H166" s="103"/>
    </row>
    <row r="167" spans="1:8" s="105" customFormat="1" ht="22.5">
      <c r="A167" s="28" t="s">
        <v>18</v>
      </c>
      <c r="B167" s="104" t="s">
        <v>63</v>
      </c>
      <c r="C167" s="104" t="s">
        <v>72</v>
      </c>
      <c r="D167" s="104" t="s">
        <v>51</v>
      </c>
      <c r="E167" s="104" t="s">
        <v>154</v>
      </c>
      <c r="F167" s="101">
        <v>4068524.8</v>
      </c>
      <c r="G167" s="102"/>
      <c r="H167" s="103"/>
    </row>
    <row r="168" spans="1:8" ht="22.5">
      <c r="A168" s="7" t="s">
        <v>74</v>
      </c>
      <c r="B168" s="92" t="s">
        <v>55</v>
      </c>
      <c r="C168" s="92" t="s">
        <v>10</v>
      </c>
      <c r="D168" s="92" t="s">
        <v>8</v>
      </c>
      <c r="E168" s="92" t="s">
        <v>11</v>
      </c>
      <c r="F168" s="106">
        <f>F169+F188</f>
        <v>39753835.160000004</v>
      </c>
      <c r="G168" s="102"/>
      <c r="H168" s="103"/>
    </row>
    <row r="169" spans="1:8" ht="11.25">
      <c r="A169" s="6" t="s">
        <v>73</v>
      </c>
      <c r="B169" s="96" t="s">
        <v>55</v>
      </c>
      <c r="C169" s="96" t="s">
        <v>9</v>
      </c>
      <c r="D169" s="96" t="s">
        <v>8</v>
      </c>
      <c r="E169" s="96" t="s">
        <v>11</v>
      </c>
      <c r="F169" s="97">
        <f>F170+F172+F174+F176+F178+F180+F182+F186+F184</f>
        <v>36548880.160000004</v>
      </c>
      <c r="G169" s="102"/>
      <c r="H169" s="103"/>
    </row>
    <row r="170" spans="1:8" s="105" customFormat="1" ht="22.5">
      <c r="A170" s="28" t="s">
        <v>64</v>
      </c>
      <c r="B170" s="104" t="s">
        <v>55</v>
      </c>
      <c r="C170" s="104" t="s">
        <v>9</v>
      </c>
      <c r="D170" s="104" t="s">
        <v>75</v>
      </c>
      <c r="E170" s="104" t="s">
        <v>11</v>
      </c>
      <c r="F170" s="101">
        <f>F171</f>
        <v>23107628.96</v>
      </c>
      <c r="G170" s="102"/>
      <c r="H170" s="103"/>
    </row>
    <row r="171" spans="1:8" s="105" customFormat="1" ht="22.5">
      <c r="A171" s="28" t="s">
        <v>38</v>
      </c>
      <c r="B171" s="104" t="s">
        <v>55</v>
      </c>
      <c r="C171" s="104" t="s">
        <v>9</v>
      </c>
      <c r="D171" s="104" t="s">
        <v>76</v>
      </c>
      <c r="E171" s="104" t="s">
        <v>39</v>
      </c>
      <c r="F171" s="101">
        <v>23107628.96</v>
      </c>
      <c r="G171" s="102"/>
      <c r="H171" s="103"/>
    </row>
    <row r="172" spans="1:8" s="105" customFormat="1" ht="22.5">
      <c r="A172" s="28" t="s">
        <v>64</v>
      </c>
      <c r="B172" s="104" t="s">
        <v>55</v>
      </c>
      <c r="C172" s="104" t="s">
        <v>9</v>
      </c>
      <c r="D172" s="104" t="s">
        <v>75</v>
      </c>
      <c r="E172" s="104" t="s">
        <v>11</v>
      </c>
      <c r="F172" s="101">
        <f>F173</f>
        <v>137254.64</v>
      </c>
      <c r="G172" s="102"/>
      <c r="H172" s="103"/>
    </row>
    <row r="173" spans="1:8" s="105" customFormat="1" ht="33.75">
      <c r="A173" s="28" t="s">
        <v>388</v>
      </c>
      <c r="B173" s="104" t="s">
        <v>55</v>
      </c>
      <c r="C173" s="104" t="s">
        <v>9</v>
      </c>
      <c r="D173" s="104" t="s">
        <v>75</v>
      </c>
      <c r="E173" s="104" t="s">
        <v>139</v>
      </c>
      <c r="F173" s="101">
        <v>137254.64</v>
      </c>
      <c r="G173" s="102"/>
      <c r="H173" s="103"/>
    </row>
    <row r="174" spans="1:8" s="105" customFormat="1" ht="90">
      <c r="A174" s="28" t="s">
        <v>391</v>
      </c>
      <c r="B174" s="104" t="s">
        <v>55</v>
      </c>
      <c r="C174" s="104" t="s">
        <v>9</v>
      </c>
      <c r="D174" s="104" t="s">
        <v>352</v>
      </c>
      <c r="E174" s="104" t="s">
        <v>11</v>
      </c>
      <c r="F174" s="101">
        <f>F175</f>
        <v>3417227.08</v>
      </c>
      <c r="G174" s="102"/>
      <c r="H174" s="103"/>
    </row>
    <row r="175" spans="1:8" s="105" customFormat="1" ht="22.5">
      <c r="A175" s="28" t="s">
        <v>38</v>
      </c>
      <c r="B175" s="104" t="s">
        <v>55</v>
      </c>
      <c r="C175" s="104" t="s">
        <v>9</v>
      </c>
      <c r="D175" s="104" t="s">
        <v>352</v>
      </c>
      <c r="E175" s="104" t="s">
        <v>39</v>
      </c>
      <c r="F175" s="101">
        <v>3417227.08</v>
      </c>
      <c r="G175" s="102"/>
      <c r="H175" s="103"/>
    </row>
    <row r="176" spans="1:8" s="105" customFormat="1" ht="22.5">
      <c r="A176" s="28" t="s">
        <v>64</v>
      </c>
      <c r="B176" s="104" t="s">
        <v>55</v>
      </c>
      <c r="C176" s="104" t="s">
        <v>9</v>
      </c>
      <c r="D176" s="104" t="s">
        <v>77</v>
      </c>
      <c r="E176" s="104" t="s">
        <v>11</v>
      </c>
      <c r="F176" s="101">
        <f>F177</f>
        <v>527128.55</v>
      </c>
      <c r="G176" s="98"/>
      <c r="H176" s="99"/>
    </row>
    <row r="177" spans="1:8" s="105" customFormat="1" ht="22.5">
      <c r="A177" s="28" t="s">
        <v>38</v>
      </c>
      <c r="B177" s="104" t="s">
        <v>55</v>
      </c>
      <c r="C177" s="104" t="s">
        <v>9</v>
      </c>
      <c r="D177" s="104" t="s">
        <v>77</v>
      </c>
      <c r="E177" s="104" t="s">
        <v>39</v>
      </c>
      <c r="F177" s="101">
        <v>527128.55</v>
      </c>
      <c r="G177" s="102"/>
      <c r="H177" s="103"/>
    </row>
    <row r="178" spans="1:8" s="105" customFormat="1" ht="22.5">
      <c r="A178" s="28" t="s">
        <v>64</v>
      </c>
      <c r="B178" s="104" t="s">
        <v>55</v>
      </c>
      <c r="C178" s="104" t="s">
        <v>9</v>
      </c>
      <c r="D178" s="104" t="s">
        <v>78</v>
      </c>
      <c r="E178" s="104" t="s">
        <v>11</v>
      </c>
      <c r="F178" s="101">
        <f>F179</f>
        <v>6670468.01</v>
      </c>
      <c r="G178" s="102"/>
      <c r="H178" s="103"/>
    </row>
    <row r="179" spans="1:8" s="105" customFormat="1" ht="22.5">
      <c r="A179" s="28" t="s">
        <v>38</v>
      </c>
      <c r="B179" s="104" t="s">
        <v>55</v>
      </c>
      <c r="C179" s="104" t="s">
        <v>9</v>
      </c>
      <c r="D179" s="104" t="s">
        <v>78</v>
      </c>
      <c r="E179" s="104" t="s">
        <v>39</v>
      </c>
      <c r="F179" s="101">
        <v>6670468.01</v>
      </c>
      <c r="G179" s="102"/>
      <c r="H179" s="103"/>
    </row>
    <row r="180" spans="1:8" s="105" customFormat="1" ht="90">
      <c r="A180" s="28" t="s">
        <v>391</v>
      </c>
      <c r="B180" s="104" t="s">
        <v>55</v>
      </c>
      <c r="C180" s="104" t="s">
        <v>9</v>
      </c>
      <c r="D180" s="104" t="s">
        <v>353</v>
      </c>
      <c r="E180" s="104" t="s">
        <v>11</v>
      </c>
      <c r="F180" s="101">
        <f>F181</f>
        <v>121272.92</v>
      </c>
      <c r="G180" s="102"/>
      <c r="H180" s="103"/>
    </row>
    <row r="181" spans="1:8" s="105" customFormat="1" ht="22.5">
      <c r="A181" s="28" t="s">
        <v>38</v>
      </c>
      <c r="B181" s="104" t="s">
        <v>55</v>
      </c>
      <c r="C181" s="104" t="s">
        <v>9</v>
      </c>
      <c r="D181" s="104" t="s">
        <v>353</v>
      </c>
      <c r="E181" s="104" t="s">
        <v>39</v>
      </c>
      <c r="F181" s="101">
        <v>121272.92</v>
      </c>
      <c r="G181" s="102"/>
      <c r="H181" s="103"/>
    </row>
    <row r="182" spans="1:8" s="105" customFormat="1" ht="45">
      <c r="A182" s="28" t="s">
        <v>392</v>
      </c>
      <c r="B182" s="104" t="s">
        <v>55</v>
      </c>
      <c r="C182" s="104" t="s">
        <v>9</v>
      </c>
      <c r="D182" s="104" t="s">
        <v>354</v>
      </c>
      <c r="E182" s="104" t="s">
        <v>11</v>
      </c>
      <c r="F182" s="101">
        <f>F183</f>
        <v>915200</v>
      </c>
      <c r="G182" s="102"/>
      <c r="H182" s="103"/>
    </row>
    <row r="183" spans="1:8" s="105" customFormat="1" ht="22.5">
      <c r="A183" s="28" t="s">
        <v>38</v>
      </c>
      <c r="B183" s="104" t="s">
        <v>55</v>
      </c>
      <c r="C183" s="104" t="s">
        <v>9</v>
      </c>
      <c r="D183" s="104" t="s">
        <v>354</v>
      </c>
      <c r="E183" s="104" t="s">
        <v>39</v>
      </c>
      <c r="F183" s="101">
        <v>915200</v>
      </c>
      <c r="G183" s="102"/>
      <c r="H183" s="103"/>
    </row>
    <row r="184" spans="1:8" s="105" customFormat="1" ht="45">
      <c r="A184" s="28" t="s">
        <v>436</v>
      </c>
      <c r="B184" s="104" t="s">
        <v>55</v>
      </c>
      <c r="C184" s="104" t="s">
        <v>9</v>
      </c>
      <c r="D184" s="104" t="s">
        <v>429</v>
      </c>
      <c r="E184" s="104" t="s">
        <v>11</v>
      </c>
      <c r="F184" s="101">
        <f>F185</f>
        <v>1200000</v>
      </c>
      <c r="G184" s="102"/>
      <c r="H184" s="103"/>
    </row>
    <row r="185" spans="1:8" s="105" customFormat="1" ht="22.5">
      <c r="A185" s="28" t="s">
        <v>38</v>
      </c>
      <c r="B185" s="104" t="s">
        <v>55</v>
      </c>
      <c r="C185" s="104" t="s">
        <v>9</v>
      </c>
      <c r="D185" s="104" t="s">
        <v>429</v>
      </c>
      <c r="E185" s="104" t="s">
        <v>39</v>
      </c>
      <c r="F185" s="101">
        <v>1200000</v>
      </c>
      <c r="G185" s="102"/>
      <c r="H185" s="103"/>
    </row>
    <row r="186" spans="1:8" s="105" customFormat="1" ht="23.25" customHeight="1">
      <c r="A186" s="28" t="s">
        <v>307</v>
      </c>
      <c r="B186" s="104" t="s">
        <v>55</v>
      </c>
      <c r="C186" s="104" t="s">
        <v>9</v>
      </c>
      <c r="D186" s="104" t="s">
        <v>306</v>
      </c>
      <c r="E186" s="104" t="s">
        <v>11</v>
      </c>
      <c r="F186" s="101">
        <f>F187</f>
        <v>452700</v>
      </c>
      <c r="G186" s="102"/>
      <c r="H186" s="103"/>
    </row>
    <row r="187" spans="1:8" s="105" customFormat="1" ht="22.5" customHeight="1">
      <c r="A187" s="28" t="s">
        <v>38</v>
      </c>
      <c r="B187" s="104" t="s">
        <v>55</v>
      </c>
      <c r="C187" s="104" t="s">
        <v>9</v>
      </c>
      <c r="D187" s="104" t="s">
        <v>306</v>
      </c>
      <c r="E187" s="104" t="s">
        <v>39</v>
      </c>
      <c r="F187" s="101">
        <v>452700</v>
      </c>
      <c r="G187" s="102"/>
      <c r="H187" s="103"/>
    </row>
    <row r="188" spans="1:8" s="105" customFormat="1" ht="33.75">
      <c r="A188" s="56" t="s">
        <v>79</v>
      </c>
      <c r="B188" s="107" t="s">
        <v>55</v>
      </c>
      <c r="C188" s="107" t="s">
        <v>31</v>
      </c>
      <c r="D188" s="107" t="s">
        <v>8</v>
      </c>
      <c r="E188" s="107" t="s">
        <v>11</v>
      </c>
      <c r="F188" s="114">
        <f>F189+F191</f>
        <v>3204955</v>
      </c>
      <c r="G188" s="102"/>
      <c r="H188" s="103"/>
    </row>
    <row r="189" spans="1:8" s="105" customFormat="1" ht="11.25">
      <c r="A189" s="28" t="s">
        <v>20</v>
      </c>
      <c r="B189" s="104" t="s">
        <v>55</v>
      </c>
      <c r="C189" s="104" t="s">
        <v>31</v>
      </c>
      <c r="D189" s="104" t="s">
        <v>21</v>
      </c>
      <c r="E189" s="104" t="s">
        <v>11</v>
      </c>
      <c r="F189" s="101">
        <f>F190</f>
        <v>912957</v>
      </c>
      <c r="G189" s="102"/>
      <c r="H189" s="103"/>
    </row>
    <row r="190" spans="1:8" s="105" customFormat="1" ht="22.5">
      <c r="A190" s="28" t="s">
        <v>18</v>
      </c>
      <c r="B190" s="104" t="s">
        <v>55</v>
      </c>
      <c r="C190" s="104" t="s">
        <v>31</v>
      </c>
      <c r="D190" s="104" t="s">
        <v>21</v>
      </c>
      <c r="E190" s="104" t="s">
        <v>154</v>
      </c>
      <c r="F190" s="101">
        <v>912957</v>
      </c>
      <c r="G190" s="102"/>
      <c r="H190" s="103"/>
    </row>
    <row r="191" spans="1:8" s="105" customFormat="1" ht="22.5">
      <c r="A191" s="28" t="s">
        <v>64</v>
      </c>
      <c r="B191" s="104" t="s">
        <v>55</v>
      </c>
      <c r="C191" s="104" t="s">
        <v>31</v>
      </c>
      <c r="D191" s="104" t="s">
        <v>80</v>
      </c>
      <c r="E191" s="104" t="s">
        <v>11</v>
      </c>
      <c r="F191" s="101">
        <f>F192</f>
        <v>2291998</v>
      </c>
      <c r="G191" s="102"/>
      <c r="H191" s="103"/>
    </row>
    <row r="192" spans="1:8" s="105" customFormat="1" ht="22.5">
      <c r="A192" s="28" t="s">
        <v>38</v>
      </c>
      <c r="B192" s="104" t="s">
        <v>55</v>
      </c>
      <c r="C192" s="104" t="s">
        <v>81</v>
      </c>
      <c r="D192" s="104" t="s">
        <v>80</v>
      </c>
      <c r="E192" s="104" t="s">
        <v>82</v>
      </c>
      <c r="F192" s="101">
        <v>2291998</v>
      </c>
      <c r="G192" s="102"/>
      <c r="H192" s="103"/>
    </row>
    <row r="193" spans="1:8" ht="22.5">
      <c r="A193" s="7" t="s">
        <v>83</v>
      </c>
      <c r="B193" s="92" t="s">
        <v>72</v>
      </c>
      <c r="C193" s="92" t="s">
        <v>10</v>
      </c>
      <c r="D193" s="92" t="s">
        <v>8</v>
      </c>
      <c r="E193" s="92" t="s">
        <v>11</v>
      </c>
      <c r="F193" s="106">
        <f>F194+F207+F225+F232+F218</f>
        <v>111775277.8</v>
      </c>
      <c r="G193" s="102"/>
      <c r="H193" s="103"/>
    </row>
    <row r="194" spans="1:8" ht="11.25">
      <c r="A194" s="6" t="s">
        <v>84</v>
      </c>
      <c r="B194" s="96" t="s">
        <v>72</v>
      </c>
      <c r="C194" s="96" t="s">
        <v>9</v>
      </c>
      <c r="D194" s="96" t="s">
        <v>8</v>
      </c>
      <c r="E194" s="96" t="s">
        <v>11</v>
      </c>
      <c r="F194" s="97">
        <f>F195+F197+F199+F201+F203+F205</f>
        <v>52223387.059999995</v>
      </c>
      <c r="G194" s="102"/>
      <c r="H194" s="103"/>
    </row>
    <row r="195" spans="1:8" ht="125.25" customHeight="1">
      <c r="A195" s="64" t="s">
        <v>396</v>
      </c>
      <c r="B195" s="100" t="s">
        <v>72</v>
      </c>
      <c r="C195" s="100" t="s">
        <v>9</v>
      </c>
      <c r="D195" s="100" t="s">
        <v>322</v>
      </c>
      <c r="E195" s="100" t="s">
        <v>11</v>
      </c>
      <c r="F195" s="101">
        <f>F196</f>
        <v>300000</v>
      </c>
      <c r="G195" s="102"/>
      <c r="H195" s="103"/>
    </row>
    <row r="196" spans="1:8" ht="22.5">
      <c r="A196" s="4" t="s">
        <v>64</v>
      </c>
      <c r="B196" s="100" t="s">
        <v>72</v>
      </c>
      <c r="C196" s="100" t="s">
        <v>9</v>
      </c>
      <c r="D196" s="100" t="s">
        <v>322</v>
      </c>
      <c r="E196" s="100" t="s">
        <v>308</v>
      </c>
      <c r="F196" s="101">
        <v>300000</v>
      </c>
      <c r="G196" s="102"/>
      <c r="H196" s="103"/>
    </row>
    <row r="197" spans="1:8" ht="22.5">
      <c r="A197" s="4" t="s">
        <v>64</v>
      </c>
      <c r="B197" s="100" t="s">
        <v>72</v>
      </c>
      <c r="C197" s="100" t="s">
        <v>9</v>
      </c>
      <c r="D197" s="100" t="s">
        <v>85</v>
      </c>
      <c r="E197" s="100" t="s">
        <v>11</v>
      </c>
      <c r="F197" s="108">
        <f>F198</f>
        <v>46922621.26</v>
      </c>
      <c r="G197" s="102"/>
      <c r="H197" s="103"/>
    </row>
    <row r="198" spans="1:8" ht="22.5">
      <c r="A198" s="4" t="s">
        <v>38</v>
      </c>
      <c r="B198" s="100" t="s">
        <v>72</v>
      </c>
      <c r="C198" s="100" t="s">
        <v>9</v>
      </c>
      <c r="D198" s="100" t="s">
        <v>85</v>
      </c>
      <c r="E198" s="100" t="s">
        <v>39</v>
      </c>
      <c r="F198" s="108">
        <v>46922621.26</v>
      </c>
      <c r="G198" s="102"/>
      <c r="H198" s="103"/>
    </row>
    <row r="199" spans="1:8" ht="22.5">
      <c r="A199" s="4" t="s">
        <v>64</v>
      </c>
      <c r="B199" s="100" t="s">
        <v>72</v>
      </c>
      <c r="C199" s="100" t="s">
        <v>9</v>
      </c>
      <c r="D199" s="100" t="s">
        <v>85</v>
      </c>
      <c r="E199" s="100" t="s">
        <v>11</v>
      </c>
      <c r="F199" s="108">
        <f>F200</f>
        <v>91565.8</v>
      </c>
      <c r="G199" s="102"/>
      <c r="H199" s="103"/>
    </row>
    <row r="200" spans="1:8" ht="45" customHeight="1">
      <c r="A200" s="4" t="s">
        <v>397</v>
      </c>
      <c r="B200" s="100" t="s">
        <v>72</v>
      </c>
      <c r="C200" s="100" t="s">
        <v>9</v>
      </c>
      <c r="D200" s="100" t="s">
        <v>85</v>
      </c>
      <c r="E200" s="100" t="s">
        <v>275</v>
      </c>
      <c r="F200" s="108">
        <v>91565.8</v>
      </c>
      <c r="G200" s="102"/>
      <c r="H200" s="103"/>
    </row>
    <row r="201" spans="1:8" ht="33.75">
      <c r="A201" s="4" t="s">
        <v>389</v>
      </c>
      <c r="B201" s="100" t="s">
        <v>72</v>
      </c>
      <c r="C201" s="100" t="s">
        <v>9</v>
      </c>
      <c r="D201" s="100" t="s">
        <v>355</v>
      </c>
      <c r="E201" s="100" t="s">
        <v>11</v>
      </c>
      <c r="F201" s="108">
        <f>F202</f>
        <v>2000000</v>
      </c>
      <c r="G201" s="102"/>
      <c r="H201" s="103"/>
    </row>
    <row r="202" spans="1:8" ht="22.5">
      <c r="A202" s="4" t="s">
        <v>38</v>
      </c>
      <c r="B202" s="100" t="s">
        <v>72</v>
      </c>
      <c r="C202" s="100" t="s">
        <v>9</v>
      </c>
      <c r="D202" s="100" t="s">
        <v>355</v>
      </c>
      <c r="E202" s="100" t="s">
        <v>39</v>
      </c>
      <c r="F202" s="108">
        <v>2000000</v>
      </c>
      <c r="G202" s="102"/>
      <c r="H202" s="103"/>
    </row>
    <row r="203" spans="1:8" ht="90">
      <c r="A203" s="4" t="s">
        <v>391</v>
      </c>
      <c r="B203" s="100" t="s">
        <v>72</v>
      </c>
      <c r="C203" s="100" t="s">
        <v>9</v>
      </c>
      <c r="D203" s="100" t="s">
        <v>356</v>
      </c>
      <c r="E203" s="100" t="s">
        <v>11</v>
      </c>
      <c r="F203" s="108">
        <f>F204</f>
        <v>2727000</v>
      </c>
      <c r="G203" s="102"/>
      <c r="H203" s="103"/>
    </row>
    <row r="204" spans="1:8" ht="22.5">
      <c r="A204" s="4" t="s">
        <v>38</v>
      </c>
      <c r="B204" s="100" t="s">
        <v>72</v>
      </c>
      <c r="C204" s="100" t="s">
        <v>9</v>
      </c>
      <c r="D204" s="100" t="s">
        <v>356</v>
      </c>
      <c r="E204" s="100" t="s">
        <v>39</v>
      </c>
      <c r="F204" s="108">
        <v>2727000</v>
      </c>
      <c r="G204" s="102"/>
      <c r="H204" s="103"/>
    </row>
    <row r="205" spans="1:8" ht="22.5">
      <c r="A205" s="4" t="s">
        <v>64</v>
      </c>
      <c r="B205" s="100" t="s">
        <v>72</v>
      </c>
      <c r="C205" s="100" t="s">
        <v>9</v>
      </c>
      <c r="D205" s="100" t="s">
        <v>357</v>
      </c>
      <c r="E205" s="100" t="s">
        <v>11</v>
      </c>
      <c r="F205" s="108">
        <f>F206</f>
        <v>182200</v>
      </c>
      <c r="G205" s="102"/>
      <c r="H205" s="103"/>
    </row>
    <row r="206" spans="1:8" ht="22.5">
      <c r="A206" s="4" t="s">
        <v>38</v>
      </c>
      <c r="B206" s="100" t="s">
        <v>72</v>
      </c>
      <c r="C206" s="100" t="s">
        <v>9</v>
      </c>
      <c r="D206" s="100" t="s">
        <v>357</v>
      </c>
      <c r="E206" s="100" t="s">
        <v>39</v>
      </c>
      <c r="F206" s="108">
        <v>182200</v>
      </c>
      <c r="G206" s="94"/>
      <c r="H206" s="95"/>
    </row>
    <row r="207" spans="1:8" ht="11.25">
      <c r="A207" s="6" t="s">
        <v>86</v>
      </c>
      <c r="B207" s="96" t="s">
        <v>72</v>
      </c>
      <c r="C207" s="96" t="s">
        <v>13</v>
      </c>
      <c r="D207" s="96" t="s">
        <v>8</v>
      </c>
      <c r="E207" s="96" t="s">
        <v>11</v>
      </c>
      <c r="F207" s="97">
        <f>F208+F210+F212+F214+F216</f>
        <v>37039665.18</v>
      </c>
      <c r="G207" s="98"/>
      <c r="H207" s="99"/>
    </row>
    <row r="208" spans="1:8" ht="22.5">
      <c r="A208" s="4" t="s">
        <v>64</v>
      </c>
      <c r="B208" s="100" t="s">
        <v>72</v>
      </c>
      <c r="C208" s="100" t="s">
        <v>13</v>
      </c>
      <c r="D208" s="100" t="s">
        <v>87</v>
      </c>
      <c r="E208" s="100" t="s">
        <v>11</v>
      </c>
      <c r="F208" s="108">
        <f>F209</f>
        <v>26722042.42</v>
      </c>
      <c r="G208" s="102"/>
      <c r="H208" s="103"/>
    </row>
    <row r="209" spans="1:8" ht="22.5">
      <c r="A209" s="4" t="s">
        <v>38</v>
      </c>
      <c r="B209" s="100" t="s">
        <v>72</v>
      </c>
      <c r="C209" s="100" t="s">
        <v>13</v>
      </c>
      <c r="D209" s="100" t="s">
        <v>87</v>
      </c>
      <c r="E209" s="100" t="s">
        <v>39</v>
      </c>
      <c r="F209" s="108">
        <v>26722042.42</v>
      </c>
      <c r="G209" s="102"/>
      <c r="H209" s="103"/>
    </row>
    <row r="210" spans="1:8" ht="90">
      <c r="A210" s="4" t="s">
        <v>391</v>
      </c>
      <c r="B210" s="100" t="s">
        <v>72</v>
      </c>
      <c r="C210" s="100" t="s">
        <v>13</v>
      </c>
      <c r="D210" s="100" t="s">
        <v>358</v>
      </c>
      <c r="E210" s="100" t="s">
        <v>11</v>
      </c>
      <c r="F210" s="108">
        <f>F211</f>
        <v>1055800</v>
      </c>
      <c r="G210" s="102"/>
      <c r="H210" s="103"/>
    </row>
    <row r="211" spans="1:8" ht="22.5">
      <c r="A211" s="4" t="s">
        <v>38</v>
      </c>
      <c r="B211" s="100" t="s">
        <v>72</v>
      </c>
      <c r="C211" s="100" t="s">
        <v>13</v>
      </c>
      <c r="D211" s="100" t="s">
        <v>358</v>
      </c>
      <c r="E211" s="100" t="s">
        <v>39</v>
      </c>
      <c r="F211" s="108">
        <v>1055800</v>
      </c>
      <c r="G211" s="102"/>
      <c r="H211" s="103"/>
    </row>
    <row r="212" spans="1:8" ht="22.5">
      <c r="A212" s="4" t="s">
        <v>64</v>
      </c>
      <c r="B212" s="100" t="s">
        <v>72</v>
      </c>
      <c r="C212" s="100" t="s">
        <v>13</v>
      </c>
      <c r="D212" s="100" t="s">
        <v>88</v>
      </c>
      <c r="E212" s="100" t="s">
        <v>11</v>
      </c>
      <c r="F212" s="108">
        <f>F213</f>
        <v>6428007.76</v>
      </c>
      <c r="G212" s="98"/>
      <c r="H212" s="99"/>
    </row>
    <row r="213" spans="1:8" ht="22.5">
      <c r="A213" s="4" t="s">
        <v>38</v>
      </c>
      <c r="B213" s="100" t="s">
        <v>72</v>
      </c>
      <c r="C213" s="100" t="s">
        <v>13</v>
      </c>
      <c r="D213" s="100" t="s">
        <v>88</v>
      </c>
      <c r="E213" s="100" t="s">
        <v>39</v>
      </c>
      <c r="F213" s="108">
        <v>6428007.76</v>
      </c>
      <c r="G213" s="102"/>
      <c r="H213" s="103"/>
    </row>
    <row r="214" spans="1:8" ht="90">
      <c r="A214" s="4" t="s">
        <v>391</v>
      </c>
      <c r="B214" s="100" t="s">
        <v>72</v>
      </c>
      <c r="C214" s="100" t="s">
        <v>13</v>
      </c>
      <c r="D214" s="100" t="s">
        <v>359</v>
      </c>
      <c r="E214" s="100" t="s">
        <v>11</v>
      </c>
      <c r="F214" s="108">
        <f>F215</f>
        <v>799500</v>
      </c>
      <c r="G214" s="102"/>
      <c r="H214" s="103"/>
    </row>
    <row r="215" spans="1:8" s="105" customFormat="1" ht="22.5">
      <c r="A215" s="4" t="s">
        <v>38</v>
      </c>
      <c r="B215" s="104" t="s">
        <v>72</v>
      </c>
      <c r="C215" s="104" t="s">
        <v>13</v>
      </c>
      <c r="D215" s="100" t="s">
        <v>359</v>
      </c>
      <c r="E215" s="104" t="s">
        <v>39</v>
      </c>
      <c r="F215" s="101">
        <v>799500</v>
      </c>
      <c r="G215" s="102"/>
      <c r="H215" s="103"/>
    </row>
    <row r="216" spans="1:8" ht="56.25">
      <c r="A216" s="4" t="s">
        <v>398</v>
      </c>
      <c r="B216" s="100" t="s">
        <v>72</v>
      </c>
      <c r="C216" s="100" t="s">
        <v>13</v>
      </c>
      <c r="D216" s="100" t="s">
        <v>151</v>
      </c>
      <c r="E216" s="100" t="s">
        <v>11</v>
      </c>
      <c r="F216" s="108">
        <f>F217</f>
        <v>2034315</v>
      </c>
      <c r="G216" s="102"/>
      <c r="H216" s="103"/>
    </row>
    <row r="217" spans="1:8" ht="22.5">
      <c r="A217" s="4" t="s">
        <v>38</v>
      </c>
      <c r="B217" s="100" t="s">
        <v>72</v>
      </c>
      <c r="C217" s="100" t="s">
        <v>13</v>
      </c>
      <c r="D217" s="100" t="s">
        <v>151</v>
      </c>
      <c r="E217" s="100" t="s">
        <v>39</v>
      </c>
      <c r="F217" s="108">
        <v>2034315</v>
      </c>
      <c r="G217" s="102"/>
      <c r="H217" s="103"/>
    </row>
    <row r="218" spans="1:8" ht="13.5" customHeight="1">
      <c r="A218" s="6" t="s">
        <v>277</v>
      </c>
      <c r="B218" s="96" t="s">
        <v>72</v>
      </c>
      <c r="C218" s="96" t="s">
        <v>25</v>
      </c>
      <c r="D218" s="96" t="s">
        <v>8</v>
      </c>
      <c r="E218" s="96" t="s">
        <v>11</v>
      </c>
      <c r="F218" s="97">
        <f>F219+F221+F223</f>
        <v>20078716</v>
      </c>
      <c r="G218" s="102"/>
      <c r="H218" s="103"/>
    </row>
    <row r="219" spans="1:8" ht="25.5" customHeight="1">
      <c r="A219" s="4" t="s">
        <v>64</v>
      </c>
      <c r="B219" s="100" t="s">
        <v>72</v>
      </c>
      <c r="C219" s="100" t="s">
        <v>25</v>
      </c>
      <c r="D219" s="100" t="s">
        <v>276</v>
      </c>
      <c r="E219" s="100" t="s">
        <v>11</v>
      </c>
      <c r="F219" s="108">
        <f>F220</f>
        <v>6976323</v>
      </c>
      <c r="G219" s="102"/>
      <c r="H219" s="103"/>
    </row>
    <row r="220" spans="1:8" ht="25.5" customHeight="1">
      <c r="A220" s="4" t="s">
        <v>38</v>
      </c>
      <c r="B220" s="100" t="s">
        <v>72</v>
      </c>
      <c r="C220" s="100" t="s">
        <v>25</v>
      </c>
      <c r="D220" s="100" t="s">
        <v>85</v>
      </c>
      <c r="E220" s="100" t="s">
        <v>39</v>
      </c>
      <c r="F220" s="108">
        <v>6976323</v>
      </c>
      <c r="G220" s="102"/>
      <c r="H220" s="103"/>
    </row>
    <row r="221" spans="1:8" s="105" customFormat="1" ht="25.5" customHeight="1">
      <c r="A221" s="28" t="s">
        <v>64</v>
      </c>
      <c r="B221" s="104" t="s">
        <v>72</v>
      </c>
      <c r="C221" s="104" t="s">
        <v>25</v>
      </c>
      <c r="D221" s="104" t="s">
        <v>87</v>
      </c>
      <c r="E221" s="104" t="s">
        <v>11</v>
      </c>
      <c r="F221" s="101">
        <f>F222</f>
        <v>10975408</v>
      </c>
      <c r="G221" s="102"/>
      <c r="H221" s="103"/>
    </row>
    <row r="222" spans="1:8" s="105" customFormat="1" ht="22.5">
      <c r="A222" s="28" t="s">
        <v>38</v>
      </c>
      <c r="B222" s="104" t="s">
        <v>72</v>
      </c>
      <c r="C222" s="104" t="s">
        <v>25</v>
      </c>
      <c r="D222" s="104" t="s">
        <v>87</v>
      </c>
      <c r="E222" s="104" t="s">
        <v>39</v>
      </c>
      <c r="F222" s="101">
        <v>10975408</v>
      </c>
      <c r="G222" s="102"/>
      <c r="H222" s="103"/>
    </row>
    <row r="223" spans="1:8" s="105" customFormat="1" ht="56.25">
      <c r="A223" s="28" t="s">
        <v>398</v>
      </c>
      <c r="B223" s="104" t="s">
        <v>72</v>
      </c>
      <c r="C223" s="104" t="s">
        <v>25</v>
      </c>
      <c r="D223" s="104" t="s">
        <v>151</v>
      </c>
      <c r="E223" s="104" t="s">
        <v>11</v>
      </c>
      <c r="F223" s="101">
        <f>F224</f>
        <v>2126985</v>
      </c>
      <c r="G223" s="102"/>
      <c r="H223" s="103"/>
    </row>
    <row r="224" spans="1:8" s="105" customFormat="1" ht="22.5">
      <c r="A224" s="28" t="s">
        <v>38</v>
      </c>
      <c r="B224" s="104" t="s">
        <v>72</v>
      </c>
      <c r="C224" s="104" t="s">
        <v>25</v>
      </c>
      <c r="D224" s="104" t="s">
        <v>151</v>
      </c>
      <c r="E224" s="104" t="s">
        <v>39</v>
      </c>
      <c r="F224" s="101">
        <v>2126985</v>
      </c>
      <c r="G224" s="102"/>
      <c r="H224" s="103"/>
    </row>
    <row r="225" spans="1:8" ht="11.25">
      <c r="A225" s="6" t="s">
        <v>89</v>
      </c>
      <c r="B225" s="96" t="s">
        <v>72</v>
      </c>
      <c r="C225" s="96" t="s">
        <v>55</v>
      </c>
      <c r="D225" s="96" t="s">
        <v>8</v>
      </c>
      <c r="E225" s="96" t="s">
        <v>11</v>
      </c>
      <c r="F225" s="97">
        <f>F228+F226+F230</f>
        <v>885826.4099999999</v>
      </c>
      <c r="G225" s="102"/>
      <c r="H225" s="103"/>
    </row>
    <row r="226" spans="1:8" ht="45">
      <c r="A226" s="4" t="s">
        <v>228</v>
      </c>
      <c r="B226" s="100" t="s">
        <v>72</v>
      </c>
      <c r="C226" s="100" t="s">
        <v>55</v>
      </c>
      <c r="D226" s="100" t="s">
        <v>248</v>
      </c>
      <c r="E226" s="100" t="s">
        <v>11</v>
      </c>
      <c r="F226" s="101">
        <f>F227</f>
        <v>1234.87</v>
      </c>
      <c r="G226" s="102"/>
      <c r="H226" s="103"/>
    </row>
    <row r="227" spans="1:8" ht="11.25">
      <c r="A227" s="28" t="s">
        <v>219</v>
      </c>
      <c r="B227" s="100" t="s">
        <v>72</v>
      </c>
      <c r="C227" s="100" t="s">
        <v>55</v>
      </c>
      <c r="D227" s="100" t="s">
        <v>248</v>
      </c>
      <c r="E227" s="100" t="s">
        <v>203</v>
      </c>
      <c r="F227" s="101">
        <v>1234.87</v>
      </c>
      <c r="G227" s="102"/>
      <c r="H227" s="103"/>
    </row>
    <row r="228" spans="1:8" ht="32.25" customHeight="1">
      <c r="A228" s="4" t="s">
        <v>237</v>
      </c>
      <c r="B228" s="100" t="s">
        <v>72</v>
      </c>
      <c r="C228" s="100" t="s">
        <v>55</v>
      </c>
      <c r="D228" s="100" t="s">
        <v>278</v>
      </c>
      <c r="E228" s="100" t="s">
        <v>11</v>
      </c>
      <c r="F228" s="108">
        <f>F229</f>
        <v>559930.98</v>
      </c>
      <c r="G228" s="102"/>
      <c r="H228" s="103"/>
    </row>
    <row r="229" spans="1:8" ht="21.75" customHeight="1">
      <c r="A229" s="4" t="s">
        <v>18</v>
      </c>
      <c r="B229" s="100" t="s">
        <v>72</v>
      </c>
      <c r="C229" s="100" t="s">
        <v>55</v>
      </c>
      <c r="D229" s="100" t="s">
        <v>278</v>
      </c>
      <c r="E229" s="100" t="s">
        <v>154</v>
      </c>
      <c r="F229" s="108">
        <v>559930.98</v>
      </c>
      <c r="G229" s="98"/>
      <c r="H229" s="99"/>
    </row>
    <row r="230" spans="1:8" s="105" customFormat="1" ht="22.5">
      <c r="A230" s="28" t="s">
        <v>58</v>
      </c>
      <c r="B230" s="104" t="s">
        <v>72</v>
      </c>
      <c r="C230" s="104" t="s">
        <v>55</v>
      </c>
      <c r="D230" s="104" t="s">
        <v>51</v>
      </c>
      <c r="E230" s="104" t="s">
        <v>11</v>
      </c>
      <c r="F230" s="101">
        <f>F231</f>
        <v>324660.56</v>
      </c>
      <c r="G230" s="98"/>
      <c r="H230" s="99"/>
    </row>
    <row r="231" spans="1:8" s="105" customFormat="1" ht="33.75">
      <c r="A231" s="28" t="s">
        <v>237</v>
      </c>
      <c r="B231" s="104" t="s">
        <v>72</v>
      </c>
      <c r="C231" s="104" t="s">
        <v>55</v>
      </c>
      <c r="D231" s="104" t="s">
        <v>51</v>
      </c>
      <c r="E231" s="104" t="s">
        <v>360</v>
      </c>
      <c r="F231" s="101">
        <v>324660.56</v>
      </c>
      <c r="G231" s="98"/>
      <c r="H231" s="99"/>
    </row>
    <row r="232" spans="1:8" ht="33.75">
      <c r="A232" s="6" t="s">
        <v>90</v>
      </c>
      <c r="B232" s="96" t="s">
        <v>72</v>
      </c>
      <c r="C232" s="96" t="s">
        <v>91</v>
      </c>
      <c r="D232" s="96" t="s">
        <v>8</v>
      </c>
      <c r="E232" s="96" t="s">
        <v>11</v>
      </c>
      <c r="F232" s="97">
        <f>F233+F235</f>
        <v>1547683.15</v>
      </c>
      <c r="G232" s="102"/>
      <c r="H232" s="103"/>
    </row>
    <row r="233" spans="1:8" ht="22.5">
      <c r="A233" s="4" t="s">
        <v>64</v>
      </c>
      <c r="B233" s="100" t="s">
        <v>72</v>
      </c>
      <c r="C233" s="100" t="s">
        <v>91</v>
      </c>
      <c r="D233" s="100" t="s">
        <v>80</v>
      </c>
      <c r="E233" s="100" t="s">
        <v>11</v>
      </c>
      <c r="F233" s="108">
        <f>F234</f>
        <v>1546337</v>
      </c>
      <c r="G233" s="102"/>
      <c r="H233" s="103"/>
    </row>
    <row r="234" spans="1:8" ht="22.5">
      <c r="A234" s="4" t="s">
        <v>38</v>
      </c>
      <c r="B234" s="100" t="s">
        <v>72</v>
      </c>
      <c r="C234" s="100" t="s">
        <v>91</v>
      </c>
      <c r="D234" s="100" t="s">
        <v>80</v>
      </c>
      <c r="E234" s="100" t="s">
        <v>39</v>
      </c>
      <c r="F234" s="108">
        <v>1546337</v>
      </c>
      <c r="G234" s="102"/>
      <c r="H234" s="103"/>
    </row>
    <row r="235" spans="1:8" ht="11.25">
      <c r="A235" s="4" t="s">
        <v>218</v>
      </c>
      <c r="B235" s="100" t="s">
        <v>72</v>
      </c>
      <c r="C235" s="100" t="s">
        <v>91</v>
      </c>
      <c r="D235" s="100" t="s">
        <v>315</v>
      </c>
      <c r="E235" s="100" t="s">
        <v>11</v>
      </c>
      <c r="F235" s="108">
        <f>F236</f>
        <v>1346.15</v>
      </c>
      <c r="G235" s="102"/>
      <c r="H235" s="103"/>
    </row>
    <row r="236" spans="1:8" ht="33.75">
      <c r="A236" s="4" t="s">
        <v>237</v>
      </c>
      <c r="B236" s="100" t="s">
        <v>72</v>
      </c>
      <c r="C236" s="100" t="s">
        <v>91</v>
      </c>
      <c r="D236" s="100" t="s">
        <v>315</v>
      </c>
      <c r="E236" s="100" t="s">
        <v>360</v>
      </c>
      <c r="F236" s="108">
        <v>1346.15</v>
      </c>
      <c r="G236" s="102"/>
      <c r="H236" s="103"/>
    </row>
    <row r="237" spans="1:8" ht="11.25">
      <c r="A237" s="7" t="s">
        <v>92</v>
      </c>
      <c r="B237" s="92" t="s">
        <v>91</v>
      </c>
      <c r="C237" s="92" t="s">
        <v>10</v>
      </c>
      <c r="D237" s="92" t="s">
        <v>8</v>
      </c>
      <c r="E237" s="92" t="s">
        <v>11</v>
      </c>
      <c r="F237" s="106">
        <f>F238+F241+F246+F299+F308</f>
        <v>199143603.22</v>
      </c>
      <c r="G237" s="98"/>
      <c r="H237" s="99"/>
    </row>
    <row r="238" spans="1:8" ht="11.25">
      <c r="A238" s="6" t="s">
        <v>94</v>
      </c>
      <c r="B238" s="96" t="s">
        <v>91</v>
      </c>
      <c r="C238" s="96" t="s">
        <v>9</v>
      </c>
      <c r="D238" s="96" t="s">
        <v>8</v>
      </c>
      <c r="E238" s="96" t="s">
        <v>11</v>
      </c>
      <c r="F238" s="97">
        <f>F239</f>
        <v>1401400</v>
      </c>
      <c r="G238" s="102"/>
      <c r="H238" s="103"/>
    </row>
    <row r="239" spans="1:8" ht="33.75">
      <c r="A239" s="4" t="s">
        <v>399</v>
      </c>
      <c r="B239" s="100" t="s">
        <v>91</v>
      </c>
      <c r="C239" s="100" t="s">
        <v>9</v>
      </c>
      <c r="D239" s="100" t="s">
        <v>93</v>
      </c>
      <c r="E239" s="100" t="s">
        <v>11</v>
      </c>
      <c r="F239" s="108">
        <f>F240</f>
        <v>1401400</v>
      </c>
      <c r="G239" s="102"/>
      <c r="H239" s="103"/>
    </row>
    <row r="240" spans="1:8" ht="11.25">
      <c r="A240" s="4" t="s">
        <v>48</v>
      </c>
      <c r="B240" s="100" t="s">
        <v>91</v>
      </c>
      <c r="C240" s="100" t="s">
        <v>9</v>
      </c>
      <c r="D240" s="100" t="s">
        <v>96</v>
      </c>
      <c r="E240" s="100" t="s">
        <v>49</v>
      </c>
      <c r="F240" s="108">
        <v>1401400</v>
      </c>
      <c r="G240" s="102"/>
      <c r="H240" s="103"/>
    </row>
    <row r="241" spans="1:8" ht="18" customHeight="1">
      <c r="A241" s="6" t="s">
        <v>97</v>
      </c>
      <c r="B241" s="96" t="s">
        <v>91</v>
      </c>
      <c r="C241" s="96" t="s">
        <v>13</v>
      </c>
      <c r="D241" s="96" t="s">
        <v>8</v>
      </c>
      <c r="E241" s="96" t="s">
        <v>11</v>
      </c>
      <c r="F241" s="97">
        <f>F242+F244</f>
        <v>14404940.1</v>
      </c>
      <c r="G241" s="102"/>
      <c r="H241" s="103"/>
    </row>
    <row r="242" spans="1:8" ht="22.5">
      <c r="A242" s="4" t="s">
        <v>400</v>
      </c>
      <c r="B242" s="100" t="s">
        <v>91</v>
      </c>
      <c r="C242" s="100" t="s">
        <v>13</v>
      </c>
      <c r="D242" s="100" t="s">
        <v>98</v>
      </c>
      <c r="E242" s="100" t="s">
        <v>11</v>
      </c>
      <c r="F242" s="108">
        <f>F243</f>
        <v>55540.85</v>
      </c>
      <c r="G242" s="102"/>
      <c r="H242" s="103"/>
    </row>
    <row r="243" spans="1:8" ht="22.5">
      <c r="A243" s="4" t="s">
        <v>38</v>
      </c>
      <c r="B243" s="100" t="s">
        <v>91</v>
      </c>
      <c r="C243" s="100" t="s">
        <v>13</v>
      </c>
      <c r="D243" s="100" t="s">
        <v>98</v>
      </c>
      <c r="E243" s="100" t="s">
        <v>39</v>
      </c>
      <c r="F243" s="108">
        <v>55540.85</v>
      </c>
      <c r="G243" s="102"/>
      <c r="H243" s="103"/>
    </row>
    <row r="244" spans="1:8" ht="22.5">
      <c r="A244" s="4" t="s">
        <v>401</v>
      </c>
      <c r="B244" s="100" t="s">
        <v>91</v>
      </c>
      <c r="C244" s="100" t="s">
        <v>13</v>
      </c>
      <c r="D244" s="100" t="s">
        <v>361</v>
      </c>
      <c r="E244" s="100" t="s">
        <v>11</v>
      </c>
      <c r="F244" s="108">
        <f>F245</f>
        <v>14349399.25</v>
      </c>
      <c r="G244" s="102"/>
      <c r="H244" s="103"/>
    </row>
    <row r="245" spans="1:8" ht="22.5">
      <c r="A245" s="4" t="s">
        <v>400</v>
      </c>
      <c r="B245" s="100" t="s">
        <v>91</v>
      </c>
      <c r="C245" s="100" t="s">
        <v>13</v>
      </c>
      <c r="D245" s="100" t="s">
        <v>361</v>
      </c>
      <c r="E245" s="100" t="s">
        <v>39</v>
      </c>
      <c r="F245" s="108">
        <v>14349399.25</v>
      </c>
      <c r="G245" s="102"/>
      <c r="H245" s="103"/>
    </row>
    <row r="246" spans="1:8" ht="11.25">
      <c r="A246" s="6" t="s">
        <v>99</v>
      </c>
      <c r="B246" s="96" t="s">
        <v>91</v>
      </c>
      <c r="C246" s="96" t="s">
        <v>19</v>
      </c>
      <c r="D246" s="96" t="s">
        <v>8</v>
      </c>
      <c r="E246" s="96" t="s">
        <v>11</v>
      </c>
      <c r="F246" s="97">
        <f>F247+F251+F253+F255+F257+F259+F261+F263+F265+F269+F273+F275+F277+F279+F281+F283+F287+F289+F291+F293+F295+F267+F271+F285+F297+F249</f>
        <v>149785692.88</v>
      </c>
      <c r="G246" s="94"/>
      <c r="H246" s="95"/>
    </row>
    <row r="247" spans="1:8" ht="34.5" customHeight="1">
      <c r="A247" s="4" t="s">
        <v>238</v>
      </c>
      <c r="B247" s="100" t="s">
        <v>91</v>
      </c>
      <c r="C247" s="100" t="s">
        <v>19</v>
      </c>
      <c r="D247" s="100" t="s">
        <v>207</v>
      </c>
      <c r="E247" s="100" t="s">
        <v>11</v>
      </c>
      <c r="F247" s="101">
        <f>F248</f>
        <v>2061100</v>
      </c>
      <c r="G247" s="98"/>
      <c r="H247" s="99"/>
    </row>
    <row r="248" spans="1:8" ht="45" customHeight="1">
      <c r="A248" s="4" t="s">
        <v>239</v>
      </c>
      <c r="B248" s="100" t="s">
        <v>91</v>
      </c>
      <c r="C248" s="100" t="s">
        <v>19</v>
      </c>
      <c r="D248" s="100" t="s">
        <v>207</v>
      </c>
      <c r="E248" s="100" t="s">
        <v>208</v>
      </c>
      <c r="F248" s="101">
        <v>2061100</v>
      </c>
      <c r="G248" s="102"/>
      <c r="H248" s="103"/>
    </row>
    <row r="249" spans="1:8" s="120" customFormat="1" ht="22.5">
      <c r="A249" s="115" t="s">
        <v>446</v>
      </c>
      <c r="B249" s="116" t="s">
        <v>91</v>
      </c>
      <c r="C249" s="116" t="s">
        <v>19</v>
      </c>
      <c r="D249" s="116" t="s">
        <v>447</v>
      </c>
      <c r="E249" s="116" t="s">
        <v>11</v>
      </c>
      <c r="F249" s="117">
        <f>F250</f>
        <v>1225107</v>
      </c>
      <c r="G249" s="118"/>
      <c r="H249" s="119"/>
    </row>
    <row r="250" spans="1:8" s="120" customFormat="1" ht="26.25" customHeight="1">
      <c r="A250" s="115" t="s">
        <v>445</v>
      </c>
      <c r="B250" s="116" t="s">
        <v>91</v>
      </c>
      <c r="C250" s="116" t="s">
        <v>19</v>
      </c>
      <c r="D250" s="116" t="s">
        <v>447</v>
      </c>
      <c r="E250" s="116" t="s">
        <v>444</v>
      </c>
      <c r="F250" s="117">
        <v>1225107</v>
      </c>
      <c r="G250" s="118"/>
      <c r="H250" s="119"/>
    </row>
    <row r="251" spans="1:8" ht="61.5" customHeight="1">
      <c r="A251" s="4" t="s">
        <v>402</v>
      </c>
      <c r="B251" s="100" t="s">
        <v>91</v>
      </c>
      <c r="C251" s="100" t="s">
        <v>19</v>
      </c>
      <c r="D251" s="100" t="s">
        <v>362</v>
      </c>
      <c r="E251" s="100" t="s">
        <v>11</v>
      </c>
      <c r="F251" s="117">
        <f>F252</f>
        <v>4690800</v>
      </c>
      <c r="G251" s="102"/>
      <c r="H251" s="103"/>
    </row>
    <row r="252" spans="1:8" ht="15" customHeight="1">
      <c r="A252" s="4" t="s">
        <v>48</v>
      </c>
      <c r="B252" s="100" t="s">
        <v>91</v>
      </c>
      <c r="C252" s="100" t="s">
        <v>19</v>
      </c>
      <c r="D252" s="100" t="s">
        <v>362</v>
      </c>
      <c r="E252" s="100" t="s">
        <v>49</v>
      </c>
      <c r="F252" s="108">
        <v>4690800</v>
      </c>
      <c r="G252" s="102"/>
      <c r="H252" s="103"/>
    </row>
    <row r="253" spans="1:8" ht="45">
      <c r="A253" s="4" t="s">
        <v>403</v>
      </c>
      <c r="B253" s="100" t="s">
        <v>91</v>
      </c>
      <c r="C253" s="100" t="s">
        <v>19</v>
      </c>
      <c r="D253" s="100" t="s">
        <v>363</v>
      </c>
      <c r="E253" s="100" t="s">
        <v>11</v>
      </c>
      <c r="F253" s="108">
        <f>F254</f>
        <v>8800100</v>
      </c>
      <c r="G253" s="98"/>
      <c r="H253" s="99"/>
    </row>
    <row r="254" spans="1:8" ht="14.25" customHeight="1">
      <c r="A254" s="4" t="s">
        <v>48</v>
      </c>
      <c r="B254" s="100" t="s">
        <v>91</v>
      </c>
      <c r="C254" s="100" t="s">
        <v>19</v>
      </c>
      <c r="D254" s="100" t="s">
        <v>363</v>
      </c>
      <c r="E254" s="100" t="s">
        <v>49</v>
      </c>
      <c r="F254" s="108">
        <v>8800100</v>
      </c>
      <c r="G254" s="102"/>
      <c r="H254" s="103"/>
    </row>
    <row r="255" spans="1:8" ht="56.25">
      <c r="A255" s="4" t="s">
        <v>404</v>
      </c>
      <c r="B255" s="100" t="s">
        <v>91</v>
      </c>
      <c r="C255" s="100" t="s">
        <v>19</v>
      </c>
      <c r="D255" s="100" t="s">
        <v>364</v>
      </c>
      <c r="E255" s="100" t="s">
        <v>11</v>
      </c>
      <c r="F255" s="108">
        <f>F256</f>
        <v>15899000</v>
      </c>
      <c r="G255" s="102"/>
      <c r="H255" s="103"/>
    </row>
    <row r="256" spans="1:8" ht="15.75" customHeight="1">
      <c r="A256" s="4" t="s">
        <v>48</v>
      </c>
      <c r="B256" s="100" t="s">
        <v>91</v>
      </c>
      <c r="C256" s="100" t="s">
        <v>19</v>
      </c>
      <c r="D256" s="100" t="s">
        <v>364</v>
      </c>
      <c r="E256" s="100" t="s">
        <v>49</v>
      </c>
      <c r="F256" s="108">
        <v>15899000</v>
      </c>
      <c r="G256" s="102"/>
      <c r="H256" s="103"/>
    </row>
    <row r="257" spans="1:8" ht="54.75" customHeight="1">
      <c r="A257" s="4" t="s">
        <v>175</v>
      </c>
      <c r="B257" s="100" t="s">
        <v>91</v>
      </c>
      <c r="C257" s="100" t="s">
        <v>19</v>
      </c>
      <c r="D257" s="100" t="s">
        <v>365</v>
      </c>
      <c r="E257" s="100" t="s">
        <v>11</v>
      </c>
      <c r="F257" s="108">
        <f>F258</f>
        <v>276976.16</v>
      </c>
      <c r="G257" s="102"/>
      <c r="H257" s="103"/>
    </row>
    <row r="258" spans="1:8" ht="15.75" customHeight="1">
      <c r="A258" s="4" t="s">
        <v>48</v>
      </c>
      <c r="B258" s="100" t="s">
        <v>91</v>
      </c>
      <c r="C258" s="100" t="s">
        <v>19</v>
      </c>
      <c r="D258" s="100" t="s">
        <v>365</v>
      </c>
      <c r="E258" s="100" t="s">
        <v>49</v>
      </c>
      <c r="F258" s="108">
        <v>276976.16</v>
      </c>
      <c r="G258" s="102"/>
      <c r="H258" s="103"/>
    </row>
    <row r="259" spans="1:8" ht="45">
      <c r="A259" s="4" t="s">
        <v>177</v>
      </c>
      <c r="B259" s="100" t="s">
        <v>91</v>
      </c>
      <c r="C259" s="100" t="s">
        <v>19</v>
      </c>
      <c r="D259" s="100" t="s">
        <v>366</v>
      </c>
      <c r="E259" s="100" t="s">
        <v>11</v>
      </c>
      <c r="F259" s="108">
        <f>F260</f>
        <v>2936100</v>
      </c>
      <c r="G259" s="102"/>
      <c r="H259" s="103"/>
    </row>
    <row r="260" spans="1:8" ht="11.25">
      <c r="A260" s="4" t="s">
        <v>48</v>
      </c>
      <c r="B260" s="100" t="s">
        <v>91</v>
      </c>
      <c r="C260" s="100" t="s">
        <v>19</v>
      </c>
      <c r="D260" s="100" t="s">
        <v>366</v>
      </c>
      <c r="E260" s="100" t="s">
        <v>49</v>
      </c>
      <c r="F260" s="108">
        <v>2936100</v>
      </c>
      <c r="G260" s="102"/>
      <c r="H260" s="103"/>
    </row>
    <row r="261" spans="1:8" ht="90">
      <c r="A261" s="4" t="s">
        <v>180</v>
      </c>
      <c r="B261" s="100" t="s">
        <v>91</v>
      </c>
      <c r="C261" s="100" t="s">
        <v>19</v>
      </c>
      <c r="D261" s="100" t="s">
        <v>178</v>
      </c>
      <c r="E261" s="100" t="s">
        <v>11</v>
      </c>
      <c r="F261" s="108">
        <f>F262</f>
        <v>732360</v>
      </c>
      <c r="G261" s="102"/>
      <c r="H261" s="103"/>
    </row>
    <row r="262" spans="1:8" ht="11.25">
      <c r="A262" s="4" t="s">
        <v>48</v>
      </c>
      <c r="B262" s="100" t="s">
        <v>91</v>
      </c>
      <c r="C262" s="100" t="s">
        <v>19</v>
      </c>
      <c r="D262" s="100" t="s">
        <v>178</v>
      </c>
      <c r="E262" s="100" t="s">
        <v>101</v>
      </c>
      <c r="F262" s="108">
        <v>732360</v>
      </c>
      <c r="G262" s="102"/>
      <c r="H262" s="103"/>
    </row>
    <row r="263" spans="1:8" ht="45">
      <c r="A263" s="4" t="s">
        <v>181</v>
      </c>
      <c r="B263" s="100" t="s">
        <v>91</v>
      </c>
      <c r="C263" s="100" t="s">
        <v>19</v>
      </c>
      <c r="D263" s="100" t="s">
        <v>100</v>
      </c>
      <c r="E263" s="100" t="s">
        <v>11</v>
      </c>
      <c r="F263" s="108">
        <f>F264</f>
        <v>1584100</v>
      </c>
      <c r="G263" s="102"/>
      <c r="H263" s="103"/>
    </row>
    <row r="264" spans="1:8" ht="11.25">
      <c r="A264" s="4" t="s">
        <v>48</v>
      </c>
      <c r="B264" s="100" t="s">
        <v>91</v>
      </c>
      <c r="C264" s="100" t="s">
        <v>19</v>
      </c>
      <c r="D264" s="100" t="s">
        <v>100</v>
      </c>
      <c r="E264" s="100" t="s">
        <v>101</v>
      </c>
      <c r="F264" s="108">
        <v>1584100</v>
      </c>
      <c r="G264" s="102"/>
      <c r="H264" s="103"/>
    </row>
    <row r="265" spans="1:8" ht="33.75">
      <c r="A265" s="4" t="s">
        <v>281</v>
      </c>
      <c r="B265" s="100" t="s">
        <v>91</v>
      </c>
      <c r="C265" s="100" t="s">
        <v>19</v>
      </c>
      <c r="D265" s="100" t="s">
        <v>282</v>
      </c>
      <c r="E265" s="100" t="s">
        <v>11</v>
      </c>
      <c r="F265" s="108">
        <f>F266</f>
        <v>10973700</v>
      </c>
      <c r="G265" s="102"/>
      <c r="H265" s="103"/>
    </row>
    <row r="266" spans="1:8" ht="11.25">
      <c r="A266" s="4" t="s">
        <v>48</v>
      </c>
      <c r="B266" s="100" t="s">
        <v>91</v>
      </c>
      <c r="C266" s="100" t="s">
        <v>19</v>
      </c>
      <c r="D266" s="100" t="s">
        <v>282</v>
      </c>
      <c r="E266" s="100" t="s">
        <v>49</v>
      </c>
      <c r="F266" s="108">
        <v>10973700</v>
      </c>
      <c r="G266" s="102"/>
      <c r="H266" s="103"/>
    </row>
    <row r="267" spans="1:8" s="105" customFormat="1" ht="56.25">
      <c r="A267" s="28" t="s">
        <v>438</v>
      </c>
      <c r="B267" s="104" t="s">
        <v>91</v>
      </c>
      <c r="C267" s="104" t="s">
        <v>19</v>
      </c>
      <c r="D267" s="104" t="s">
        <v>430</v>
      </c>
      <c r="E267" s="104" t="s">
        <v>11</v>
      </c>
      <c r="F267" s="101">
        <f>F268</f>
        <v>26400</v>
      </c>
      <c r="G267" s="102"/>
      <c r="H267" s="103"/>
    </row>
    <row r="268" spans="1:8" s="105" customFormat="1" ht="11.25">
      <c r="A268" s="28" t="s">
        <v>48</v>
      </c>
      <c r="B268" s="104" t="s">
        <v>91</v>
      </c>
      <c r="C268" s="104" t="s">
        <v>19</v>
      </c>
      <c r="D268" s="104" t="s">
        <v>430</v>
      </c>
      <c r="E268" s="104" t="s">
        <v>49</v>
      </c>
      <c r="F268" s="101">
        <v>26400</v>
      </c>
      <c r="G268" s="102"/>
      <c r="H268" s="103"/>
    </row>
    <row r="269" spans="1:8" ht="22.5">
      <c r="A269" s="4" t="s">
        <v>405</v>
      </c>
      <c r="B269" s="100" t="s">
        <v>91</v>
      </c>
      <c r="C269" s="100" t="s">
        <v>19</v>
      </c>
      <c r="D269" s="100" t="s">
        <v>107</v>
      </c>
      <c r="E269" s="100" t="s">
        <v>11</v>
      </c>
      <c r="F269" s="108">
        <f>F270</f>
        <v>19992000</v>
      </c>
      <c r="G269" s="102"/>
      <c r="H269" s="103"/>
    </row>
    <row r="270" spans="1:8" ht="11.25">
      <c r="A270" s="4" t="s">
        <v>48</v>
      </c>
      <c r="B270" s="100" t="s">
        <v>91</v>
      </c>
      <c r="C270" s="100" t="s">
        <v>19</v>
      </c>
      <c r="D270" s="100" t="s">
        <v>107</v>
      </c>
      <c r="E270" s="100" t="s">
        <v>49</v>
      </c>
      <c r="F270" s="108">
        <v>19992000</v>
      </c>
      <c r="G270" s="102"/>
      <c r="H270" s="103"/>
    </row>
    <row r="271" spans="1:8" s="105" customFormat="1" ht="45">
      <c r="A271" s="28" t="s">
        <v>439</v>
      </c>
      <c r="B271" s="104" t="s">
        <v>91</v>
      </c>
      <c r="C271" s="104" t="s">
        <v>19</v>
      </c>
      <c r="D271" s="104" t="s">
        <v>109</v>
      </c>
      <c r="E271" s="104" t="s">
        <v>11</v>
      </c>
      <c r="F271" s="101">
        <f>F272</f>
        <v>0.01</v>
      </c>
      <c r="G271" s="102"/>
      <c r="H271" s="103"/>
    </row>
    <row r="272" spans="1:8" s="105" customFormat="1" ht="11.25">
      <c r="A272" s="28" t="s">
        <v>48</v>
      </c>
      <c r="B272" s="104" t="s">
        <v>91</v>
      </c>
      <c r="C272" s="104" t="s">
        <v>19</v>
      </c>
      <c r="D272" s="104" t="s">
        <v>109</v>
      </c>
      <c r="E272" s="104" t="s">
        <v>49</v>
      </c>
      <c r="F272" s="101">
        <v>0.01</v>
      </c>
      <c r="G272" s="102"/>
      <c r="H272" s="103"/>
    </row>
    <row r="273" spans="1:8" ht="33.75">
      <c r="A273" s="4" t="s">
        <v>406</v>
      </c>
      <c r="B273" s="100" t="s">
        <v>91</v>
      </c>
      <c r="C273" s="100" t="s">
        <v>19</v>
      </c>
      <c r="D273" s="100" t="s">
        <v>252</v>
      </c>
      <c r="E273" s="100" t="s">
        <v>11</v>
      </c>
      <c r="F273" s="108">
        <f>F274</f>
        <v>9578072.71</v>
      </c>
      <c r="G273" s="102"/>
      <c r="H273" s="103"/>
    </row>
    <row r="274" spans="1:8" ht="11.25">
      <c r="A274" s="4" t="s">
        <v>48</v>
      </c>
      <c r="B274" s="100" t="s">
        <v>91</v>
      </c>
      <c r="C274" s="100" t="s">
        <v>19</v>
      </c>
      <c r="D274" s="100" t="s">
        <v>252</v>
      </c>
      <c r="E274" s="100" t="s">
        <v>49</v>
      </c>
      <c r="F274" s="108">
        <v>9578072.71</v>
      </c>
      <c r="G274" s="102"/>
      <c r="H274" s="103"/>
    </row>
    <row r="275" spans="1:8" ht="22.5">
      <c r="A275" s="4" t="s">
        <v>407</v>
      </c>
      <c r="B275" s="100" t="s">
        <v>91</v>
      </c>
      <c r="C275" s="100" t="s">
        <v>19</v>
      </c>
      <c r="D275" s="100" t="s">
        <v>367</v>
      </c>
      <c r="E275" s="100" t="s">
        <v>11</v>
      </c>
      <c r="F275" s="101">
        <f>F276</f>
        <v>19482700</v>
      </c>
      <c r="G275" s="102"/>
      <c r="H275" s="103"/>
    </row>
    <row r="276" spans="1:8" ht="11.25">
      <c r="A276" s="4" t="s">
        <v>48</v>
      </c>
      <c r="B276" s="100" t="s">
        <v>91</v>
      </c>
      <c r="C276" s="100" t="s">
        <v>19</v>
      </c>
      <c r="D276" s="100" t="s">
        <v>367</v>
      </c>
      <c r="E276" s="100" t="s">
        <v>49</v>
      </c>
      <c r="F276" s="101">
        <v>19482700</v>
      </c>
      <c r="G276" s="102"/>
      <c r="H276" s="103"/>
    </row>
    <row r="277" spans="1:8" ht="27.75" customHeight="1">
      <c r="A277" s="4" t="s">
        <v>408</v>
      </c>
      <c r="B277" s="100" t="s">
        <v>91</v>
      </c>
      <c r="C277" s="100" t="s">
        <v>19</v>
      </c>
      <c r="D277" s="100" t="s">
        <v>368</v>
      </c>
      <c r="E277" s="100" t="s">
        <v>11</v>
      </c>
      <c r="F277" s="101">
        <f>F278</f>
        <v>10146200</v>
      </c>
      <c r="G277" s="102"/>
      <c r="H277" s="103"/>
    </row>
    <row r="278" spans="1:8" ht="11.25">
      <c r="A278" s="4" t="s">
        <v>48</v>
      </c>
      <c r="B278" s="100" t="s">
        <v>91</v>
      </c>
      <c r="C278" s="100" t="s">
        <v>19</v>
      </c>
      <c r="D278" s="100" t="s">
        <v>368</v>
      </c>
      <c r="E278" s="100" t="s">
        <v>49</v>
      </c>
      <c r="F278" s="101">
        <v>10146200</v>
      </c>
      <c r="G278" s="102"/>
      <c r="H278" s="103"/>
    </row>
    <row r="279" spans="1:8" ht="25.5" customHeight="1">
      <c r="A279" s="4" t="s">
        <v>409</v>
      </c>
      <c r="B279" s="100" t="s">
        <v>91</v>
      </c>
      <c r="C279" s="100" t="s">
        <v>19</v>
      </c>
      <c r="D279" s="100" t="s">
        <v>369</v>
      </c>
      <c r="E279" s="100" t="s">
        <v>11</v>
      </c>
      <c r="F279" s="101">
        <f>F280</f>
        <v>18412500</v>
      </c>
      <c r="G279" s="102"/>
      <c r="H279" s="103"/>
    </row>
    <row r="280" spans="1:8" s="105" customFormat="1" ht="11.25">
      <c r="A280" s="4" t="s">
        <v>48</v>
      </c>
      <c r="B280" s="104" t="s">
        <v>91</v>
      </c>
      <c r="C280" s="104" t="s">
        <v>19</v>
      </c>
      <c r="D280" s="100" t="s">
        <v>369</v>
      </c>
      <c r="E280" s="104" t="s">
        <v>49</v>
      </c>
      <c r="F280" s="101">
        <v>18412500</v>
      </c>
      <c r="G280" s="102"/>
      <c r="H280" s="103"/>
    </row>
    <row r="281" spans="1:8" ht="33.75">
      <c r="A281" s="4" t="s">
        <v>410</v>
      </c>
      <c r="B281" s="100" t="s">
        <v>91</v>
      </c>
      <c r="C281" s="100" t="s">
        <v>19</v>
      </c>
      <c r="D281" s="100" t="s">
        <v>370</v>
      </c>
      <c r="E281" s="100" t="s">
        <v>11</v>
      </c>
      <c r="F281" s="101">
        <f>F282</f>
        <v>709800</v>
      </c>
      <c r="G281" s="102"/>
      <c r="H281" s="103"/>
    </row>
    <row r="282" spans="1:8" ht="11.25">
      <c r="A282" s="4" t="s">
        <v>48</v>
      </c>
      <c r="B282" s="100" t="s">
        <v>91</v>
      </c>
      <c r="C282" s="100" t="s">
        <v>19</v>
      </c>
      <c r="D282" s="100" t="s">
        <v>370</v>
      </c>
      <c r="E282" s="100" t="s">
        <v>49</v>
      </c>
      <c r="F282" s="101">
        <v>709800</v>
      </c>
      <c r="G282" s="102"/>
      <c r="H282" s="103"/>
    </row>
    <row r="283" spans="1:8" ht="45">
      <c r="A283" s="66" t="s">
        <v>411</v>
      </c>
      <c r="B283" s="100" t="s">
        <v>91</v>
      </c>
      <c r="C283" s="100" t="s">
        <v>19</v>
      </c>
      <c r="D283" s="100" t="s">
        <v>371</v>
      </c>
      <c r="E283" s="100" t="s">
        <v>11</v>
      </c>
      <c r="F283" s="101">
        <f>F284</f>
        <v>1716800</v>
      </c>
      <c r="G283" s="102"/>
      <c r="H283" s="103"/>
    </row>
    <row r="284" spans="1:8" ht="11.25">
      <c r="A284" s="4" t="s">
        <v>48</v>
      </c>
      <c r="B284" s="100" t="s">
        <v>91</v>
      </c>
      <c r="C284" s="100" t="s">
        <v>19</v>
      </c>
      <c r="D284" s="100" t="s">
        <v>371</v>
      </c>
      <c r="E284" s="100" t="s">
        <v>49</v>
      </c>
      <c r="F284" s="101">
        <v>1716800</v>
      </c>
      <c r="G284" s="102"/>
      <c r="H284" s="103"/>
    </row>
    <row r="285" spans="1:8" s="105" customFormat="1" ht="22.5">
      <c r="A285" s="28" t="s">
        <v>440</v>
      </c>
      <c r="B285" s="104" t="s">
        <v>91</v>
      </c>
      <c r="C285" s="104" t="s">
        <v>19</v>
      </c>
      <c r="D285" s="104" t="s">
        <v>431</v>
      </c>
      <c r="E285" s="104" t="s">
        <v>11</v>
      </c>
      <c r="F285" s="101">
        <f>F286</f>
        <v>183600</v>
      </c>
      <c r="G285" s="102"/>
      <c r="H285" s="103"/>
    </row>
    <row r="286" spans="1:8" s="105" customFormat="1" ht="22.5">
      <c r="A286" s="28" t="s">
        <v>437</v>
      </c>
      <c r="B286" s="104" t="s">
        <v>91</v>
      </c>
      <c r="C286" s="104" t="s">
        <v>19</v>
      </c>
      <c r="D286" s="104" t="s">
        <v>431</v>
      </c>
      <c r="E286" s="104" t="s">
        <v>432</v>
      </c>
      <c r="F286" s="101">
        <v>183600</v>
      </c>
      <c r="G286" s="102"/>
      <c r="H286" s="103"/>
    </row>
    <row r="287" spans="1:8" ht="22.5">
      <c r="A287" s="4" t="s">
        <v>240</v>
      </c>
      <c r="B287" s="100" t="s">
        <v>91</v>
      </c>
      <c r="C287" s="100" t="s">
        <v>19</v>
      </c>
      <c r="D287" s="100" t="s">
        <v>110</v>
      </c>
      <c r="E287" s="100" t="s">
        <v>11</v>
      </c>
      <c r="F287" s="101">
        <f>F288</f>
        <v>852000</v>
      </c>
      <c r="G287" s="102"/>
      <c r="H287" s="103"/>
    </row>
    <row r="288" spans="1:8" ht="15.75" customHeight="1">
      <c r="A288" s="4" t="s">
        <v>48</v>
      </c>
      <c r="B288" s="100" t="s">
        <v>91</v>
      </c>
      <c r="C288" s="100" t="s">
        <v>19</v>
      </c>
      <c r="D288" s="100" t="s">
        <v>110</v>
      </c>
      <c r="E288" s="100" t="s">
        <v>49</v>
      </c>
      <c r="F288" s="101">
        <v>852000</v>
      </c>
      <c r="G288" s="102"/>
      <c r="H288" s="103"/>
    </row>
    <row r="289" spans="1:8" ht="22.5">
      <c r="A289" s="4" t="s">
        <v>240</v>
      </c>
      <c r="B289" s="100" t="s">
        <v>91</v>
      </c>
      <c r="C289" s="100" t="s">
        <v>19</v>
      </c>
      <c r="D289" s="100" t="s">
        <v>110</v>
      </c>
      <c r="E289" s="100" t="s">
        <v>11</v>
      </c>
      <c r="F289" s="101">
        <f>F290</f>
        <v>775400</v>
      </c>
      <c r="G289" s="102"/>
      <c r="H289" s="103"/>
    </row>
    <row r="290" spans="1:8" ht="14.25" customHeight="1">
      <c r="A290" s="4" t="s">
        <v>330</v>
      </c>
      <c r="B290" s="100" t="s">
        <v>91</v>
      </c>
      <c r="C290" s="100" t="s">
        <v>19</v>
      </c>
      <c r="D290" s="100" t="s">
        <v>110</v>
      </c>
      <c r="E290" s="100" t="s">
        <v>283</v>
      </c>
      <c r="F290" s="101">
        <v>775400</v>
      </c>
      <c r="G290" s="102"/>
      <c r="H290" s="103"/>
    </row>
    <row r="291" spans="1:8" ht="48.75" customHeight="1">
      <c r="A291" s="4" t="s">
        <v>301</v>
      </c>
      <c r="B291" s="100" t="s">
        <v>91</v>
      </c>
      <c r="C291" s="100" t="s">
        <v>19</v>
      </c>
      <c r="D291" s="100" t="s">
        <v>300</v>
      </c>
      <c r="E291" s="100" t="s">
        <v>11</v>
      </c>
      <c r="F291" s="101">
        <f>F292</f>
        <v>14334038</v>
      </c>
      <c r="G291" s="102"/>
      <c r="H291" s="103"/>
    </row>
    <row r="292" spans="1:8" ht="22.5">
      <c r="A292" s="4" t="s">
        <v>240</v>
      </c>
      <c r="B292" s="100" t="s">
        <v>91</v>
      </c>
      <c r="C292" s="100" t="s">
        <v>19</v>
      </c>
      <c r="D292" s="100" t="s">
        <v>300</v>
      </c>
      <c r="E292" s="100" t="s">
        <v>209</v>
      </c>
      <c r="F292" s="101">
        <v>14334038</v>
      </c>
      <c r="G292" s="102"/>
      <c r="H292" s="103"/>
    </row>
    <row r="293" spans="1:8" ht="22.5">
      <c r="A293" s="4" t="s">
        <v>331</v>
      </c>
      <c r="B293" s="100" t="s">
        <v>91</v>
      </c>
      <c r="C293" s="100" t="s">
        <v>19</v>
      </c>
      <c r="D293" s="100" t="s">
        <v>315</v>
      </c>
      <c r="E293" s="100" t="s">
        <v>11</v>
      </c>
      <c r="F293" s="101">
        <f>F294</f>
        <v>2741400</v>
      </c>
      <c r="G293" s="102"/>
      <c r="H293" s="103"/>
    </row>
    <row r="294" spans="1:8" ht="22.5">
      <c r="A294" s="4" t="s">
        <v>240</v>
      </c>
      <c r="B294" s="100" t="s">
        <v>91</v>
      </c>
      <c r="C294" s="100" t="s">
        <v>19</v>
      </c>
      <c r="D294" s="100" t="s">
        <v>315</v>
      </c>
      <c r="E294" s="100" t="s">
        <v>209</v>
      </c>
      <c r="F294" s="101">
        <v>2741400</v>
      </c>
      <c r="G294" s="102"/>
      <c r="H294" s="103"/>
    </row>
    <row r="295" spans="1:8" ht="22.5">
      <c r="A295" s="4" t="s">
        <v>58</v>
      </c>
      <c r="B295" s="100" t="s">
        <v>91</v>
      </c>
      <c r="C295" s="100" t="s">
        <v>19</v>
      </c>
      <c r="D295" s="100" t="s">
        <v>51</v>
      </c>
      <c r="E295" s="100" t="s">
        <v>11</v>
      </c>
      <c r="F295" s="101">
        <f>F296</f>
        <v>1651439</v>
      </c>
      <c r="G295" s="102"/>
      <c r="H295" s="103"/>
    </row>
    <row r="296" spans="1:8" ht="22.5">
      <c r="A296" s="4" t="s">
        <v>240</v>
      </c>
      <c r="B296" s="100" t="s">
        <v>91</v>
      </c>
      <c r="C296" s="100" t="s">
        <v>19</v>
      </c>
      <c r="D296" s="100" t="s">
        <v>152</v>
      </c>
      <c r="E296" s="100" t="s">
        <v>209</v>
      </c>
      <c r="F296" s="101">
        <v>1651439</v>
      </c>
      <c r="G296" s="102"/>
      <c r="H296" s="103"/>
    </row>
    <row r="297" spans="1:8" s="105" customFormat="1" ht="22.5">
      <c r="A297" s="28" t="s">
        <v>58</v>
      </c>
      <c r="B297" s="104" t="s">
        <v>91</v>
      </c>
      <c r="C297" s="104" t="s">
        <v>19</v>
      </c>
      <c r="D297" s="104" t="s">
        <v>51</v>
      </c>
      <c r="E297" s="104" t="s">
        <v>11</v>
      </c>
      <c r="F297" s="101">
        <f>F298</f>
        <v>4000</v>
      </c>
      <c r="G297" s="102"/>
      <c r="H297" s="103"/>
    </row>
    <row r="298" spans="1:8" s="105" customFormat="1" ht="22.5">
      <c r="A298" s="28" t="s">
        <v>18</v>
      </c>
      <c r="B298" s="104" t="s">
        <v>91</v>
      </c>
      <c r="C298" s="104" t="s">
        <v>19</v>
      </c>
      <c r="D298" s="104" t="s">
        <v>51</v>
      </c>
      <c r="E298" s="104" t="s">
        <v>154</v>
      </c>
      <c r="F298" s="101">
        <v>4000</v>
      </c>
      <c r="G298" s="102"/>
      <c r="H298" s="103"/>
    </row>
    <row r="299" spans="1:8" ht="11.25">
      <c r="A299" s="6" t="s">
        <v>112</v>
      </c>
      <c r="B299" s="96" t="s">
        <v>91</v>
      </c>
      <c r="C299" s="96" t="s">
        <v>25</v>
      </c>
      <c r="D299" s="96" t="s">
        <v>8</v>
      </c>
      <c r="E299" s="96" t="s">
        <v>11</v>
      </c>
      <c r="F299" s="97">
        <f>F300+F302+F304+F306</f>
        <v>21174104.15</v>
      </c>
      <c r="G299" s="102"/>
      <c r="H299" s="103"/>
    </row>
    <row r="300" spans="1:8" ht="78.75" customHeight="1">
      <c r="A300" s="4" t="s">
        <v>242</v>
      </c>
      <c r="B300" s="100" t="s">
        <v>91</v>
      </c>
      <c r="C300" s="100" t="s">
        <v>25</v>
      </c>
      <c r="D300" s="100" t="s">
        <v>372</v>
      </c>
      <c r="E300" s="100" t="s">
        <v>11</v>
      </c>
      <c r="F300" s="108">
        <f>F301</f>
        <v>5041008.51</v>
      </c>
      <c r="G300" s="102"/>
      <c r="H300" s="103"/>
    </row>
    <row r="301" spans="1:8" ht="15" customHeight="1">
      <c r="A301" s="4" t="s">
        <v>48</v>
      </c>
      <c r="B301" s="100" t="s">
        <v>91</v>
      </c>
      <c r="C301" s="100" t="s">
        <v>25</v>
      </c>
      <c r="D301" s="100" t="s">
        <v>372</v>
      </c>
      <c r="E301" s="100" t="s">
        <v>49</v>
      </c>
      <c r="F301" s="108">
        <v>5041008.51</v>
      </c>
      <c r="G301" s="102"/>
      <c r="H301" s="103"/>
    </row>
    <row r="302" spans="1:8" ht="45">
      <c r="A302" s="4" t="s">
        <v>412</v>
      </c>
      <c r="B302" s="100" t="s">
        <v>91</v>
      </c>
      <c r="C302" s="100" t="s">
        <v>25</v>
      </c>
      <c r="D302" s="100" t="s">
        <v>373</v>
      </c>
      <c r="E302" s="100" t="s">
        <v>11</v>
      </c>
      <c r="F302" s="108">
        <f>F303</f>
        <v>4245000</v>
      </c>
      <c r="G302" s="102"/>
      <c r="H302" s="103"/>
    </row>
    <row r="303" spans="1:8" ht="46.5" customHeight="1">
      <c r="A303" s="4" t="s">
        <v>186</v>
      </c>
      <c r="B303" s="100" t="s">
        <v>91</v>
      </c>
      <c r="C303" s="100" t="s">
        <v>25</v>
      </c>
      <c r="D303" s="100" t="s">
        <v>373</v>
      </c>
      <c r="E303" s="100" t="s">
        <v>185</v>
      </c>
      <c r="F303" s="108">
        <v>4245000</v>
      </c>
      <c r="G303" s="102"/>
      <c r="H303" s="103"/>
    </row>
    <row r="304" spans="1:8" ht="33.75">
      <c r="A304" s="4" t="s">
        <v>413</v>
      </c>
      <c r="B304" s="100" t="s">
        <v>91</v>
      </c>
      <c r="C304" s="100" t="s">
        <v>25</v>
      </c>
      <c r="D304" s="100" t="s">
        <v>374</v>
      </c>
      <c r="E304" s="100" t="s">
        <v>11</v>
      </c>
      <c r="F304" s="108">
        <f>F305</f>
        <v>1981900</v>
      </c>
      <c r="G304" s="102"/>
      <c r="H304" s="103"/>
    </row>
    <row r="305" spans="1:8" ht="54" customHeight="1">
      <c r="A305" s="4" t="s">
        <v>186</v>
      </c>
      <c r="B305" s="100" t="s">
        <v>91</v>
      </c>
      <c r="C305" s="100" t="s">
        <v>25</v>
      </c>
      <c r="D305" s="100" t="s">
        <v>374</v>
      </c>
      <c r="E305" s="100" t="s">
        <v>185</v>
      </c>
      <c r="F305" s="108">
        <v>1981900</v>
      </c>
      <c r="G305" s="102"/>
      <c r="H305" s="103"/>
    </row>
    <row r="306" spans="1:8" ht="45">
      <c r="A306" s="4" t="s">
        <v>414</v>
      </c>
      <c r="B306" s="100" t="s">
        <v>91</v>
      </c>
      <c r="C306" s="100" t="s">
        <v>25</v>
      </c>
      <c r="D306" s="100" t="s">
        <v>375</v>
      </c>
      <c r="E306" s="100" t="s">
        <v>11</v>
      </c>
      <c r="F306" s="108">
        <f>F307</f>
        <v>9906195.64</v>
      </c>
      <c r="G306" s="102"/>
      <c r="H306" s="103"/>
    </row>
    <row r="307" spans="1:8" ht="58.5" customHeight="1">
      <c r="A307" s="4" t="s">
        <v>186</v>
      </c>
      <c r="B307" s="100" t="s">
        <v>91</v>
      </c>
      <c r="C307" s="100" t="s">
        <v>25</v>
      </c>
      <c r="D307" s="100" t="s">
        <v>375</v>
      </c>
      <c r="E307" s="100" t="s">
        <v>185</v>
      </c>
      <c r="F307" s="108">
        <v>9906195.64</v>
      </c>
      <c r="G307" s="102"/>
      <c r="H307" s="103"/>
    </row>
    <row r="308" spans="1:8" ht="22.5">
      <c r="A308" s="6" t="s">
        <v>111</v>
      </c>
      <c r="B308" s="96" t="s">
        <v>91</v>
      </c>
      <c r="C308" s="96" t="s">
        <v>31</v>
      </c>
      <c r="D308" s="96" t="s">
        <v>8</v>
      </c>
      <c r="E308" s="96" t="s">
        <v>11</v>
      </c>
      <c r="F308" s="97">
        <f>F309+F311+F313+F315</f>
        <v>12377466.09</v>
      </c>
      <c r="G308" s="102"/>
      <c r="H308" s="103"/>
    </row>
    <row r="309" spans="1:8" ht="11.25">
      <c r="A309" s="4" t="s">
        <v>20</v>
      </c>
      <c r="B309" s="100" t="s">
        <v>91</v>
      </c>
      <c r="C309" s="100" t="s">
        <v>31</v>
      </c>
      <c r="D309" s="100" t="s">
        <v>125</v>
      </c>
      <c r="E309" s="100" t="s">
        <v>11</v>
      </c>
      <c r="F309" s="108">
        <f>F310</f>
        <v>140800</v>
      </c>
      <c r="G309" s="98"/>
      <c r="H309" s="99"/>
    </row>
    <row r="310" spans="1:8" ht="22.5">
      <c r="A310" s="4" t="s">
        <v>18</v>
      </c>
      <c r="B310" s="100" t="s">
        <v>91</v>
      </c>
      <c r="C310" s="100" t="s">
        <v>31</v>
      </c>
      <c r="D310" s="100" t="s">
        <v>125</v>
      </c>
      <c r="E310" s="100" t="s">
        <v>154</v>
      </c>
      <c r="F310" s="108">
        <v>140800</v>
      </c>
      <c r="G310" s="102"/>
      <c r="H310" s="103"/>
    </row>
    <row r="311" spans="1:8" ht="24" customHeight="1">
      <c r="A311" s="4" t="s">
        <v>188</v>
      </c>
      <c r="B311" s="100" t="s">
        <v>91</v>
      </c>
      <c r="C311" s="100" t="s">
        <v>31</v>
      </c>
      <c r="D311" s="100" t="s">
        <v>187</v>
      </c>
      <c r="E311" s="100" t="s">
        <v>11</v>
      </c>
      <c r="F311" s="108">
        <f>F312</f>
        <v>2924891.1</v>
      </c>
      <c r="G311" s="102"/>
      <c r="H311" s="103"/>
    </row>
    <row r="312" spans="1:8" ht="22.5">
      <c r="A312" s="4" t="s">
        <v>18</v>
      </c>
      <c r="B312" s="100" t="s">
        <v>91</v>
      </c>
      <c r="C312" s="100" t="s">
        <v>31</v>
      </c>
      <c r="D312" s="100" t="s">
        <v>187</v>
      </c>
      <c r="E312" s="100" t="s">
        <v>154</v>
      </c>
      <c r="F312" s="108">
        <v>2924891.1</v>
      </c>
      <c r="G312" s="102"/>
      <c r="H312" s="103"/>
    </row>
    <row r="313" spans="1:8" ht="33.75">
      <c r="A313" s="4" t="s">
        <v>380</v>
      </c>
      <c r="B313" s="100" t="s">
        <v>91</v>
      </c>
      <c r="C313" s="100" t="s">
        <v>31</v>
      </c>
      <c r="D313" s="100" t="s">
        <v>194</v>
      </c>
      <c r="E313" s="100" t="s">
        <v>11</v>
      </c>
      <c r="F313" s="108">
        <f>F314</f>
        <v>7753127.63</v>
      </c>
      <c r="G313" s="102"/>
      <c r="H313" s="103"/>
    </row>
    <row r="314" spans="1:8" ht="23.25" customHeight="1">
      <c r="A314" s="4" t="s">
        <v>18</v>
      </c>
      <c r="B314" s="100" t="s">
        <v>91</v>
      </c>
      <c r="C314" s="100" t="s">
        <v>31</v>
      </c>
      <c r="D314" s="100" t="s">
        <v>194</v>
      </c>
      <c r="E314" s="100" t="s">
        <v>154</v>
      </c>
      <c r="F314" s="108">
        <v>7753127.63</v>
      </c>
      <c r="G314" s="102"/>
      <c r="H314" s="103"/>
    </row>
    <row r="315" spans="1:8" ht="45">
      <c r="A315" s="4" t="s">
        <v>415</v>
      </c>
      <c r="B315" s="100" t="s">
        <v>91</v>
      </c>
      <c r="C315" s="100" t="s">
        <v>31</v>
      </c>
      <c r="D315" s="100" t="s">
        <v>376</v>
      </c>
      <c r="E315" s="100" t="s">
        <v>11</v>
      </c>
      <c r="F315" s="108">
        <f>F316</f>
        <v>1558647.36</v>
      </c>
      <c r="G315" s="102"/>
      <c r="H315" s="103"/>
    </row>
    <row r="316" spans="1:8" ht="22.5">
      <c r="A316" s="4" t="s">
        <v>18</v>
      </c>
      <c r="B316" s="100" t="s">
        <v>91</v>
      </c>
      <c r="C316" s="100" t="s">
        <v>31</v>
      </c>
      <c r="D316" s="100" t="s">
        <v>376</v>
      </c>
      <c r="E316" s="100" t="s">
        <v>154</v>
      </c>
      <c r="F316" s="108">
        <v>1558647.36</v>
      </c>
      <c r="G316" s="102"/>
      <c r="H316" s="103"/>
    </row>
    <row r="317" spans="1:8" ht="11.25">
      <c r="A317" s="7" t="s">
        <v>113</v>
      </c>
      <c r="B317" s="92" t="s">
        <v>114</v>
      </c>
      <c r="C317" s="92" t="s">
        <v>10</v>
      </c>
      <c r="D317" s="92" t="s">
        <v>8</v>
      </c>
      <c r="E317" s="92" t="s">
        <v>11</v>
      </c>
      <c r="F317" s="106">
        <f>F318+F325+F330</f>
        <v>51099059.47</v>
      </c>
      <c r="G317" s="102"/>
      <c r="H317" s="103"/>
    </row>
    <row r="318" spans="1:8" ht="33.75">
      <c r="A318" s="6" t="s">
        <v>115</v>
      </c>
      <c r="B318" s="96" t="s">
        <v>114</v>
      </c>
      <c r="C318" s="96" t="s">
        <v>9</v>
      </c>
      <c r="D318" s="96" t="s">
        <v>33</v>
      </c>
      <c r="E318" s="96" t="s">
        <v>11</v>
      </c>
      <c r="F318" s="97">
        <f>F319+F321+F323</f>
        <v>15364205.55</v>
      </c>
      <c r="G318" s="98"/>
      <c r="H318" s="99"/>
    </row>
    <row r="319" spans="1:8" s="105" customFormat="1" ht="45">
      <c r="A319" s="28" t="s">
        <v>285</v>
      </c>
      <c r="B319" s="104" t="s">
        <v>114</v>
      </c>
      <c r="C319" s="104" t="s">
        <v>9</v>
      </c>
      <c r="D319" s="104" t="s">
        <v>284</v>
      </c>
      <c r="E319" s="104" t="s">
        <v>11</v>
      </c>
      <c r="F319" s="101">
        <f>F320</f>
        <v>13080000</v>
      </c>
      <c r="G319" s="102"/>
      <c r="H319" s="103"/>
    </row>
    <row r="320" spans="1:8" s="105" customFormat="1" ht="11.25" customHeight="1">
      <c r="A320" s="28" t="s">
        <v>116</v>
      </c>
      <c r="B320" s="104" t="s">
        <v>114</v>
      </c>
      <c r="C320" s="104" t="s">
        <v>9</v>
      </c>
      <c r="D320" s="104" t="s">
        <v>284</v>
      </c>
      <c r="E320" s="104" t="s">
        <v>117</v>
      </c>
      <c r="F320" s="101">
        <v>13080000</v>
      </c>
      <c r="G320" s="102"/>
      <c r="H320" s="103"/>
    </row>
    <row r="321" spans="1:8" ht="67.5">
      <c r="A321" s="4" t="s">
        <v>289</v>
      </c>
      <c r="B321" s="100" t="s">
        <v>114</v>
      </c>
      <c r="C321" s="100" t="s">
        <v>9</v>
      </c>
      <c r="D321" s="100" t="s">
        <v>288</v>
      </c>
      <c r="E321" s="100" t="s">
        <v>11</v>
      </c>
      <c r="F321" s="108">
        <f>F322</f>
        <v>1597700</v>
      </c>
      <c r="G321" s="102"/>
      <c r="H321" s="103"/>
    </row>
    <row r="322" spans="1:8" ht="12.75" customHeight="1">
      <c r="A322" s="4" t="s">
        <v>116</v>
      </c>
      <c r="B322" s="100" t="s">
        <v>114</v>
      </c>
      <c r="C322" s="100" t="s">
        <v>9</v>
      </c>
      <c r="D322" s="100" t="s">
        <v>288</v>
      </c>
      <c r="E322" s="100" t="s">
        <v>117</v>
      </c>
      <c r="F322" s="108">
        <v>1597700</v>
      </c>
      <c r="G322" s="102"/>
      <c r="H322" s="103"/>
    </row>
    <row r="323" spans="1:8" ht="33.75">
      <c r="A323" s="4" t="s">
        <v>244</v>
      </c>
      <c r="B323" s="100" t="s">
        <v>114</v>
      </c>
      <c r="C323" s="100" t="s">
        <v>9</v>
      </c>
      <c r="D323" s="100" t="s">
        <v>377</v>
      </c>
      <c r="E323" s="100" t="s">
        <v>11</v>
      </c>
      <c r="F323" s="108">
        <f>F324</f>
        <v>686505.55</v>
      </c>
      <c r="G323" s="102"/>
      <c r="H323" s="103"/>
    </row>
    <row r="324" spans="1:8" ht="12.75" customHeight="1">
      <c r="A324" s="4" t="s">
        <v>245</v>
      </c>
      <c r="B324" s="100" t="s">
        <v>114</v>
      </c>
      <c r="C324" s="100" t="s">
        <v>9</v>
      </c>
      <c r="D324" s="100" t="s">
        <v>377</v>
      </c>
      <c r="E324" s="100" t="s">
        <v>243</v>
      </c>
      <c r="F324" s="108">
        <v>686505.55</v>
      </c>
      <c r="G324" s="102"/>
      <c r="H324" s="103"/>
    </row>
    <row r="325" spans="1:8" ht="45.75" customHeight="1">
      <c r="A325" s="6" t="s">
        <v>249</v>
      </c>
      <c r="B325" s="96" t="s">
        <v>114</v>
      </c>
      <c r="C325" s="96" t="s">
        <v>13</v>
      </c>
      <c r="D325" s="96" t="s">
        <v>8</v>
      </c>
      <c r="E325" s="96" t="s">
        <v>11</v>
      </c>
      <c r="F325" s="97">
        <f>F326+F328</f>
        <v>33072253.92</v>
      </c>
      <c r="G325" s="102"/>
      <c r="H325" s="103"/>
    </row>
    <row r="326" spans="1:8" s="105" customFormat="1" ht="67.5">
      <c r="A326" s="55" t="s">
        <v>442</v>
      </c>
      <c r="B326" s="104" t="s">
        <v>114</v>
      </c>
      <c r="C326" s="104" t="s">
        <v>13</v>
      </c>
      <c r="D326" s="104" t="s">
        <v>292</v>
      </c>
      <c r="E326" s="104" t="s">
        <v>11</v>
      </c>
      <c r="F326" s="101">
        <f>F327</f>
        <v>15288267.53</v>
      </c>
      <c r="G326" s="102"/>
      <c r="H326" s="103"/>
    </row>
    <row r="327" spans="1:8" s="105" customFormat="1" ht="36.75" customHeight="1">
      <c r="A327" s="28" t="s">
        <v>417</v>
      </c>
      <c r="B327" s="104" t="s">
        <v>114</v>
      </c>
      <c r="C327" s="104" t="s">
        <v>13</v>
      </c>
      <c r="D327" s="104" t="s">
        <v>292</v>
      </c>
      <c r="E327" s="104" t="s">
        <v>378</v>
      </c>
      <c r="F327" s="101">
        <v>15288267.53</v>
      </c>
      <c r="G327" s="102"/>
      <c r="H327" s="103"/>
    </row>
    <row r="328" spans="1:8" s="105" customFormat="1" ht="67.5">
      <c r="A328" s="28" t="s">
        <v>418</v>
      </c>
      <c r="B328" s="104" t="s">
        <v>114</v>
      </c>
      <c r="C328" s="104" t="s">
        <v>13</v>
      </c>
      <c r="D328" s="104" t="s">
        <v>379</v>
      </c>
      <c r="E328" s="104" t="s">
        <v>11</v>
      </c>
      <c r="F328" s="101">
        <f>F329</f>
        <v>17783986.39</v>
      </c>
      <c r="G328" s="102"/>
      <c r="H328" s="103"/>
    </row>
    <row r="329" spans="1:8" s="105" customFormat="1" ht="13.5" customHeight="1">
      <c r="A329" s="28" t="s">
        <v>332</v>
      </c>
      <c r="B329" s="104" t="s">
        <v>114</v>
      </c>
      <c r="C329" s="104" t="s">
        <v>13</v>
      </c>
      <c r="D329" s="104" t="s">
        <v>379</v>
      </c>
      <c r="E329" s="104" t="s">
        <v>210</v>
      </c>
      <c r="F329" s="101">
        <v>17783986.39</v>
      </c>
      <c r="G329" s="102"/>
      <c r="H329" s="103"/>
    </row>
    <row r="330" spans="1:8" ht="33.75">
      <c r="A330" s="6" t="s">
        <v>118</v>
      </c>
      <c r="B330" s="96" t="s">
        <v>114</v>
      </c>
      <c r="C330" s="96" t="s">
        <v>19</v>
      </c>
      <c r="D330" s="96" t="s">
        <v>8</v>
      </c>
      <c r="E330" s="96" t="s">
        <v>11</v>
      </c>
      <c r="F330" s="97">
        <f>F332+F334</f>
        <v>2662600</v>
      </c>
      <c r="G330" s="98"/>
      <c r="H330" s="99"/>
    </row>
    <row r="331" spans="1:8" ht="37.5" customHeight="1">
      <c r="A331" s="4" t="s">
        <v>419</v>
      </c>
      <c r="B331" s="100" t="s">
        <v>114</v>
      </c>
      <c r="C331" s="100" t="s">
        <v>19</v>
      </c>
      <c r="D331" s="100" t="s">
        <v>120</v>
      </c>
      <c r="E331" s="100" t="s">
        <v>11</v>
      </c>
      <c r="F331" s="108">
        <f>F332</f>
        <v>2181900</v>
      </c>
      <c r="G331" s="102"/>
      <c r="H331" s="103"/>
    </row>
    <row r="332" spans="1:8" ht="11.25">
      <c r="A332" s="4" t="s">
        <v>121</v>
      </c>
      <c r="B332" s="100" t="s">
        <v>114</v>
      </c>
      <c r="C332" s="100" t="s">
        <v>19</v>
      </c>
      <c r="D332" s="100" t="s">
        <v>120</v>
      </c>
      <c r="E332" s="100" t="s">
        <v>122</v>
      </c>
      <c r="F332" s="108">
        <v>2181900</v>
      </c>
      <c r="G332" s="102"/>
      <c r="H332" s="103"/>
    </row>
    <row r="333" spans="1:8" ht="22.5">
      <c r="A333" s="4" t="s">
        <v>36</v>
      </c>
      <c r="B333" s="100" t="s">
        <v>114</v>
      </c>
      <c r="C333" s="100" t="s">
        <v>19</v>
      </c>
      <c r="D333" s="100" t="s">
        <v>37</v>
      </c>
      <c r="E333" s="100" t="s">
        <v>11</v>
      </c>
      <c r="F333" s="108">
        <f>F334</f>
        <v>480700</v>
      </c>
      <c r="G333" s="102"/>
      <c r="H333" s="103"/>
    </row>
    <row r="334" spans="1:8" ht="11.25" customHeight="1" thickBot="1">
      <c r="A334" s="4" t="s">
        <v>121</v>
      </c>
      <c r="B334" s="100" t="s">
        <v>114</v>
      </c>
      <c r="C334" s="100" t="s">
        <v>19</v>
      </c>
      <c r="D334" s="100" t="s">
        <v>37</v>
      </c>
      <c r="E334" s="100" t="s">
        <v>122</v>
      </c>
      <c r="F334" s="108">
        <f>240350+240350</f>
        <v>480700</v>
      </c>
      <c r="G334" s="102"/>
      <c r="H334" s="103"/>
    </row>
    <row r="335" spans="1:8" ht="9" customHeight="1" hidden="1">
      <c r="A335" s="121"/>
      <c r="B335" s="121"/>
      <c r="C335" s="121"/>
      <c r="D335" s="121"/>
      <c r="E335" s="121"/>
      <c r="F335" s="122"/>
      <c r="G335" s="102"/>
      <c r="H335" s="103"/>
    </row>
    <row r="336" spans="1:8" s="126" customFormat="1" ht="12" thickBot="1">
      <c r="A336" s="123" t="s">
        <v>2</v>
      </c>
      <c r="B336" s="124"/>
      <c r="C336" s="124"/>
      <c r="D336" s="124"/>
      <c r="E336" s="124"/>
      <c r="F336" s="125">
        <f>F8+F32+F53+F69+F104+F114+F168+F193+F237+F317</f>
        <v>1101705142.75</v>
      </c>
      <c r="H336" s="95"/>
    </row>
    <row r="337" spans="6:8" ht="11.25">
      <c r="F337" s="127"/>
      <c r="G337" s="102"/>
      <c r="H337" s="103"/>
    </row>
    <row r="338" spans="4:8" s="83" customFormat="1" ht="11.25">
      <c r="D338" s="90"/>
      <c r="F338" s="128"/>
      <c r="G338" s="102"/>
      <c r="H338" s="103"/>
    </row>
    <row r="339" spans="6:8" s="83" customFormat="1" ht="11.25">
      <c r="F339" s="128"/>
      <c r="G339" s="98"/>
      <c r="H339" s="99"/>
    </row>
    <row r="340" spans="6:8" s="83" customFormat="1" ht="11.25">
      <c r="F340" s="128"/>
      <c r="G340" s="102"/>
      <c r="H340" s="103"/>
    </row>
    <row r="341" spans="6:8" s="83" customFormat="1" ht="11.25">
      <c r="F341" s="128"/>
      <c r="G341" s="102"/>
      <c r="H341" s="103"/>
    </row>
    <row r="342" spans="6:8" s="83" customFormat="1" ht="11.25">
      <c r="F342" s="128"/>
      <c r="G342" s="102"/>
      <c r="H342" s="103"/>
    </row>
    <row r="343" spans="6:8" s="83" customFormat="1" ht="11.25">
      <c r="F343" s="128"/>
      <c r="G343" s="102"/>
      <c r="H343" s="103"/>
    </row>
    <row r="344" spans="6:8" s="83" customFormat="1" ht="11.25">
      <c r="F344" s="128"/>
      <c r="G344" s="90"/>
      <c r="H344" s="103"/>
    </row>
    <row r="345" spans="7:8" s="83" customFormat="1" ht="11.25">
      <c r="G345" s="90"/>
      <c r="H345" s="129"/>
    </row>
    <row r="346" spans="7:8" s="83" customFormat="1" ht="11.25">
      <c r="G346" s="90"/>
      <c r="H346" s="90"/>
    </row>
    <row r="347" spans="7:8" s="83" customFormat="1" ht="11.25">
      <c r="G347" s="90"/>
      <c r="H347" s="90"/>
    </row>
    <row r="348" spans="7:8" s="83" customFormat="1" ht="11.25">
      <c r="G348" s="90"/>
      <c r="H348" s="90"/>
    </row>
    <row r="349" spans="7:8" s="83" customFormat="1" ht="11.25">
      <c r="G349" s="90"/>
      <c r="H349" s="90"/>
    </row>
    <row r="350" spans="7:8" s="83" customFormat="1" ht="11.25">
      <c r="G350" s="90"/>
      <c r="H350" s="90"/>
    </row>
    <row r="351" spans="7:8" s="83" customFormat="1" ht="11.25">
      <c r="G351" s="90"/>
      <c r="H351" s="90"/>
    </row>
    <row r="352" spans="7:8" s="83" customFormat="1" ht="11.25">
      <c r="G352" s="90"/>
      <c r="H352" s="90"/>
    </row>
    <row r="353" spans="7:8" s="83" customFormat="1" ht="11.25">
      <c r="G353" s="90"/>
      <c r="H353" s="90"/>
    </row>
    <row r="354" spans="7:8" s="83" customFormat="1" ht="11.25">
      <c r="G354" s="90"/>
      <c r="H354" s="90"/>
    </row>
    <row r="355" spans="7:8" s="83" customFormat="1" ht="11.25">
      <c r="G355" s="90"/>
      <c r="H355" s="90"/>
    </row>
    <row r="356" spans="7:8" s="83" customFormat="1" ht="11.25">
      <c r="G356" s="90"/>
      <c r="H356" s="90"/>
    </row>
    <row r="357" spans="7:8" s="83" customFormat="1" ht="11.25">
      <c r="G357" s="90"/>
      <c r="H357" s="90"/>
    </row>
    <row r="358" spans="7:8" s="83" customFormat="1" ht="11.25">
      <c r="G358" s="90"/>
      <c r="H358" s="90"/>
    </row>
    <row r="359" spans="7:8" s="83" customFormat="1" ht="11.25">
      <c r="G359" s="90"/>
      <c r="H359" s="90"/>
    </row>
    <row r="360" spans="7:8" s="83" customFormat="1" ht="11.25">
      <c r="G360" s="90"/>
      <c r="H360" s="90"/>
    </row>
    <row r="361" spans="7:8" s="83" customFormat="1" ht="11.25">
      <c r="G361" s="90"/>
      <c r="H361" s="90"/>
    </row>
    <row r="362" spans="7:8" s="83" customFormat="1" ht="11.25">
      <c r="G362" s="90"/>
      <c r="H362" s="90"/>
    </row>
    <row r="363" spans="7:8" s="83" customFormat="1" ht="11.25">
      <c r="G363" s="90"/>
      <c r="H363" s="90"/>
    </row>
    <row r="364" spans="7:8" s="83" customFormat="1" ht="11.25">
      <c r="G364" s="90"/>
      <c r="H364" s="90"/>
    </row>
    <row r="365" spans="7:8" s="83" customFormat="1" ht="11.25">
      <c r="G365" s="90"/>
      <c r="H365" s="90"/>
    </row>
    <row r="366" spans="7:8" s="83" customFormat="1" ht="11.25">
      <c r="G366" s="90"/>
      <c r="H366" s="90"/>
    </row>
    <row r="367" spans="7:8" s="83" customFormat="1" ht="11.25">
      <c r="G367" s="90"/>
      <c r="H367" s="90"/>
    </row>
    <row r="368" spans="7:8" s="83" customFormat="1" ht="11.25">
      <c r="G368" s="90"/>
      <c r="H368" s="90"/>
    </row>
    <row r="369" spans="7:8" s="83" customFormat="1" ht="11.25">
      <c r="G369" s="90"/>
      <c r="H369" s="90"/>
    </row>
    <row r="370" spans="7:8" s="83" customFormat="1" ht="11.25">
      <c r="G370" s="90"/>
      <c r="H370" s="90"/>
    </row>
    <row r="371" spans="7:8" s="83" customFormat="1" ht="11.25">
      <c r="G371" s="90"/>
      <c r="H371" s="90"/>
    </row>
    <row r="372" spans="7:8" s="83" customFormat="1" ht="11.25">
      <c r="G372" s="90"/>
      <c r="H372" s="90"/>
    </row>
    <row r="373" spans="7:8" s="83" customFormat="1" ht="11.25">
      <c r="G373" s="90"/>
      <c r="H373" s="90"/>
    </row>
    <row r="374" spans="7:8" s="83" customFormat="1" ht="11.25">
      <c r="G374" s="90"/>
      <c r="H374" s="90"/>
    </row>
    <row r="375" spans="7:8" s="83" customFormat="1" ht="11.25">
      <c r="G375" s="90"/>
      <c r="H375" s="90"/>
    </row>
    <row r="376" spans="7:8" s="83" customFormat="1" ht="11.25">
      <c r="G376" s="90"/>
      <c r="H376" s="90"/>
    </row>
    <row r="377" spans="7:8" s="83" customFormat="1" ht="11.25">
      <c r="G377" s="90"/>
      <c r="H377" s="90"/>
    </row>
    <row r="378" spans="7:8" s="83" customFormat="1" ht="11.25">
      <c r="G378" s="90"/>
      <c r="H378" s="90"/>
    </row>
    <row r="379" spans="7:8" s="83" customFormat="1" ht="11.25">
      <c r="G379" s="90"/>
      <c r="H379" s="90"/>
    </row>
    <row r="380" spans="7:8" s="83" customFormat="1" ht="11.25">
      <c r="G380" s="90"/>
      <c r="H380" s="90"/>
    </row>
    <row r="381" spans="7:8" s="83" customFormat="1" ht="11.25">
      <c r="G381" s="90"/>
      <c r="H381" s="90"/>
    </row>
    <row r="382" spans="7:8" s="83" customFormat="1" ht="11.25">
      <c r="G382" s="90"/>
      <c r="H382" s="90"/>
    </row>
    <row r="383" spans="7:8" s="83" customFormat="1" ht="11.25">
      <c r="G383" s="90"/>
      <c r="H383" s="90"/>
    </row>
    <row r="384" spans="7:8" s="83" customFormat="1" ht="11.25">
      <c r="G384" s="90"/>
      <c r="H384" s="90"/>
    </row>
    <row r="385" spans="7:8" s="83" customFormat="1" ht="11.25">
      <c r="G385" s="90"/>
      <c r="H385" s="90"/>
    </row>
    <row r="386" spans="7:8" s="83" customFormat="1" ht="11.25">
      <c r="G386" s="90"/>
      <c r="H386" s="90"/>
    </row>
    <row r="387" spans="7:8" s="83" customFormat="1" ht="11.25">
      <c r="G387" s="90"/>
      <c r="H387" s="90"/>
    </row>
    <row r="388" spans="7:8" s="83" customFormat="1" ht="11.25">
      <c r="G388" s="90"/>
      <c r="H388" s="90"/>
    </row>
    <row r="389" spans="7:8" s="83" customFormat="1" ht="11.25">
      <c r="G389" s="90"/>
      <c r="H389" s="90"/>
    </row>
    <row r="390" spans="7:8" s="83" customFormat="1" ht="11.25">
      <c r="G390" s="90"/>
      <c r="H390" s="90"/>
    </row>
    <row r="391" spans="7:8" s="83" customFormat="1" ht="11.25">
      <c r="G391" s="90"/>
      <c r="H391" s="90"/>
    </row>
    <row r="392" spans="7:8" s="83" customFormat="1" ht="11.25">
      <c r="G392" s="90"/>
      <c r="H392" s="90"/>
    </row>
    <row r="393" spans="7:8" s="83" customFormat="1" ht="11.25">
      <c r="G393" s="90"/>
      <c r="H393" s="90"/>
    </row>
    <row r="394" spans="7:8" s="83" customFormat="1" ht="11.25">
      <c r="G394" s="90"/>
      <c r="H394" s="90"/>
    </row>
    <row r="395" spans="7:8" s="83" customFormat="1" ht="11.25">
      <c r="G395" s="90"/>
      <c r="H395" s="90"/>
    </row>
    <row r="396" spans="7:8" s="83" customFormat="1" ht="11.25">
      <c r="G396" s="90"/>
      <c r="H396" s="90"/>
    </row>
    <row r="397" spans="7:8" s="83" customFormat="1" ht="11.25">
      <c r="G397" s="90"/>
      <c r="H397" s="90"/>
    </row>
    <row r="398" spans="7:8" s="83" customFormat="1" ht="11.25">
      <c r="G398" s="90"/>
      <c r="H398" s="90"/>
    </row>
    <row r="399" spans="7:8" s="83" customFormat="1" ht="11.25">
      <c r="G399" s="90"/>
      <c r="H399" s="90"/>
    </row>
    <row r="400" spans="7:8" s="83" customFormat="1" ht="11.25">
      <c r="G400" s="90"/>
      <c r="H400" s="90"/>
    </row>
    <row r="401" spans="7:8" s="83" customFormat="1" ht="11.25">
      <c r="G401" s="90"/>
      <c r="H401" s="90"/>
    </row>
    <row r="402" spans="7:8" s="83" customFormat="1" ht="11.25">
      <c r="G402" s="90"/>
      <c r="H402" s="90"/>
    </row>
    <row r="403" spans="7:8" s="83" customFormat="1" ht="11.25">
      <c r="G403" s="90"/>
      <c r="H403" s="90"/>
    </row>
    <row r="404" spans="7:8" s="83" customFormat="1" ht="11.25">
      <c r="G404" s="90"/>
      <c r="H404" s="90"/>
    </row>
    <row r="405" spans="7:8" s="83" customFormat="1" ht="11.25">
      <c r="G405" s="90"/>
      <c r="H405" s="90"/>
    </row>
    <row r="406" spans="7:8" s="83" customFormat="1" ht="11.25">
      <c r="G406" s="90"/>
      <c r="H406" s="90"/>
    </row>
    <row r="407" spans="7:8" s="83" customFormat="1" ht="11.25">
      <c r="G407" s="90"/>
      <c r="H407" s="90"/>
    </row>
    <row r="408" spans="7:8" s="83" customFormat="1" ht="11.25">
      <c r="G408" s="90"/>
      <c r="H408" s="90"/>
    </row>
    <row r="409" spans="7:8" s="83" customFormat="1" ht="11.25">
      <c r="G409" s="90"/>
      <c r="H409" s="90"/>
    </row>
    <row r="410" spans="7:8" s="83" customFormat="1" ht="11.25">
      <c r="G410" s="90"/>
      <c r="H410" s="90"/>
    </row>
    <row r="411" spans="7:8" s="83" customFormat="1" ht="11.25">
      <c r="G411" s="90"/>
      <c r="H411" s="90"/>
    </row>
    <row r="412" spans="7:8" s="83" customFormat="1" ht="11.25">
      <c r="G412" s="90"/>
      <c r="H412" s="90"/>
    </row>
    <row r="413" spans="7:8" s="83" customFormat="1" ht="11.25">
      <c r="G413" s="90"/>
      <c r="H413" s="90"/>
    </row>
    <row r="414" spans="7:8" s="83" customFormat="1" ht="11.25">
      <c r="G414" s="90"/>
      <c r="H414" s="90"/>
    </row>
    <row r="415" spans="7:8" s="83" customFormat="1" ht="11.25">
      <c r="G415" s="90"/>
      <c r="H415" s="90"/>
    </row>
    <row r="416" spans="7:8" s="83" customFormat="1" ht="11.25">
      <c r="G416" s="90"/>
      <c r="H416" s="90"/>
    </row>
    <row r="417" spans="7:8" s="83" customFormat="1" ht="11.25">
      <c r="G417" s="90"/>
      <c r="H417" s="90"/>
    </row>
    <row r="418" spans="7:8" s="83" customFormat="1" ht="11.25">
      <c r="G418" s="90"/>
      <c r="H418" s="90"/>
    </row>
    <row r="419" spans="7:8" s="83" customFormat="1" ht="11.25">
      <c r="G419" s="90"/>
      <c r="H419" s="90"/>
    </row>
    <row r="420" spans="7:8" s="83" customFormat="1" ht="11.25">
      <c r="G420" s="90"/>
      <c r="H420" s="90"/>
    </row>
    <row r="421" spans="7:8" s="83" customFormat="1" ht="11.25">
      <c r="G421" s="90"/>
      <c r="H421" s="90"/>
    </row>
    <row r="422" spans="7:8" s="83" customFormat="1" ht="11.25">
      <c r="G422" s="90"/>
      <c r="H422" s="90"/>
    </row>
    <row r="423" spans="7:8" s="83" customFormat="1" ht="11.25">
      <c r="G423" s="90"/>
      <c r="H423" s="90"/>
    </row>
    <row r="424" spans="7:8" s="83" customFormat="1" ht="11.25">
      <c r="G424" s="90"/>
      <c r="H424" s="90"/>
    </row>
    <row r="425" spans="7:8" s="83" customFormat="1" ht="11.25">
      <c r="G425" s="90"/>
      <c r="H425" s="90"/>
    </row>
    <row r="426" spans="7:8" s="83" customFormat="1" ht="11.25">
      <c r="G426" s="90"/>
      <c r="H426" s="90"/>
    </row>
    <row r="427" spans="7:8" s="83" customFormat="1" ht="11.25">
      <c r="G427" s="90"/>
      <c r="H427" s="90"/>
    </row>
    <row r="428" spans="7:8" s="83" customFormat="1" ht="11.25">
      <c r="G428" s="90"/>
      <c r="H428" s="90"/>
    </row>
    <row r="429" spans="7:8" s="83" customFormat="1" ht="11.25">
      <c r="G429" s="90"/>
      <c r="H429" s="90"/>
    </row>
    <row r="430" spans="7:8" s="83" customFormat="1" ht="11.25">
      <c r="G430" s="90"/>
      <c r="H430" s="90"/>
    </row>
    <row r="431" spans="7:8" s="83" customFormat="1" ht="11.25">
      <c r="G431" s="90"/>
      <c r="H431" s="90"/>
    </row>
    <row r="432" spans="7:8" s="83" customFormat="1" ht="11.25">
      <c r="G432" s="90"/>
      <c r="H432" s="90"/>
    </row>
    <row r="433" spans="7:8" s="83" customFormat="1" ht="11.25">
      <c r="G433" s="90"/>
      <c r="H433" s="90"/>
    </row>
    <row r="434" spans="7:8" s="83" customFormat="1" ht="11.25">
      <c r="G434" s="90"/>
      <c r="H434" s="90"/>
    </row>
    <row r="435" spans="7:8" s="83" customFormat="1" ht="11.25">
      <c r="G435" s="90"/>
      <c r="H435" s="90"/>
    </row>
    <row r="436" spans="7:8" s="83" customFormat="1" ht="11.25">
      <c r="G436" s="90"/>
      <c r="H436" s="90"/>
    </row>
    <row r="437" spans="7:8" s="83" customFormat="1" ht="11.25">
      <c r="G437" s="90"/>
      <c r="H437" s="90"/>
    </row>
    <row r="438" spans="7:8" s="83" customFormat="1" ht="11.25">
      <c r="G438" s="90"/>
      <c r="H438" s="90"/>
    </row>
    <row r="439" spans="7:8" s="83" customFormat="1" ht="11.25">
      <c r="G439" s="90"/>
      <c r="H439" s="90"/>
    </row>
    <row r="440" spans="7:8" s="83" customFormat="1" ht="11.25">
      <c r="G440" s="90"/>
      <c r="H440" s="90"/>
    </row>
    <row r="441" spans="7:8" s="83" customFormat="1" ht="11.25">
      <c r="G441" s="90"/>
      <c r="H441" s="90"/>
    </row>
    <row r="442" spans="7:8" s="83" customFormat="1" ht="11.25">
      <c r="G442" s="90"/>
      <c r="H442" s="90"/>
    </row>
    <row r="443" spans="7:8" s="83" customFormat="1" ht="11.25">
      <c r="G443" s="90"/>
      <c r="H443" s="90"/>
    </row>
    <row r="444" spans="7:8" s="83" customFormat="1" ht="11.25">
      <c r="G444" s="90"/>
      <c r="H444" s="90"/>
    </row>
    <row r="445" spans="7:8" s="83" customFormat="1" ht="11.25">
      <c r="G445" s="90"/>
      <c r="H445" s="90"/>
    </row>
    <row r="446" spans="7:8" s="83" customFormat="1" ht="11.25">
      <c r="G446" s="90"/>
      <c r="H446" s="90"/>
    </row>
    <row r="447" spans="7:8" s="83" customFormat="1" ht="11.25">
      <c r="G447" s="90"/>
      <c r="H447" s="90"/>
    </row>
    <row r="448" spans="7:8" s="83" customFormat="1" ht="11.25">
      <c r="G448" s="90"/>
      <c r="H448" s="90"/>
    </row>
    <row r="449" spans="7:8" s="83" customFormat="1" ht="11.25">
      <c r="G449" s="90"/>
      <c r="H449" s="90"/>
    </row>
    <row r="450" spans="7:8" s="83" customFormat="1" ht="11.25">
      <c r="G450" s="90"/>
      <c r="H450" s="90"/>
    </row>
    <row r="451" spans="7:8" s="83" customFormat="1" ht="11.25">
      <c r="G451" s="90"/>
      <c r="H451" s="90"/>
    </row>
    <row r="452" spans="7:8" s="83" customFormat="1" ht="11.25">
      <c r="G452" s="90"/>
      <c r="H452" s="90"/>
    </row>
    <row r="453" spans="7:8" s="83" customFormat="1" ht="11.25">
      <c r="G453" s="90"/>
      <c r="H453" s="90"/>
    </row>
    <row r="454" spans="7:8" s="83" customFormat="1" ht="11.25">
      <c r="G454" s="90"/>
      <c r="H454" s="90"/>
    </row>
    <row r="455" spans="7:8" s="83" customFormat="1" ht="11.25">
      <c r="G455" s="90"/>
      <c r="H455" s="90"/>
    </row>
    <row r="456" spans="7:8" s="83" customFormat="1" ht="11.25">
      <c r="G456" s="90"/>
      <c r="H456" s="90"/>
    </row>
    <row r="457" spans="7:8" s="83" customFormat="1" ht="11.25">
      <c r="G457" s="90"/>
      <c r="H457" s="90"/>
    </row>
    <row r="458" spans="7:8" s="83" customFormat="1" ht="11.25">
      <c r="G458" s="90"/>
      <c r="H458" s="90"/>
    </row>
    <row r="459" spans="7:8" s="83" customFormat="1" ht="11.25">
      <c r="G459" s="90"/>
      <c r="H459" s="90"/>
    </row>
    <row r="460" spans="7:8" s="83" customFormat="1" ht="11.25">
      <c r="G460" s="90"/>
      <c r="H460" s="90"/>
    </row>
    <row r="461" spans="7:8" s="83" customFormat="1" ht="11.25">
      <c r="G461" s="90"/>
      <c r="H461" s="90"/>
    </row>
    <row r="462" spans="7:8" s="83" customFormat="1" ht="11.25">
      <c r="G462" s="90"/>
      <c r="H462" s="90"/>
    </row>
    <row r="463" spans="7:8" s="83" customFormat="1" ht="11.25">
      <c r="G463" s="90"/>
      <c r="H463" s="90"/>
    </row>
    <row r="464" spans="7:8" s="83" customFormat="1" ht="11.25">
      <c r="G464" s="90"/>
      <c r="H464" s="90"/>
    </row>
    <row r="465" spans="7:8" s="83" customFormat="1" ht="11.25">
      <c r="G465" s="90"/>
      <c r="H465" s="90"/>
    </row>
    <row r="466" spans="7:8" s="83" customFormat="1" ht="11.25">
      <c r="G466" s="90"/>
      <c r="H466" s="90"/>
    </row>
    <row r="467" spans="7:8" s="83" customFormat="1" ht="11.25">
      <c r="G467" s="90"/>
      <c r="H467" s="90"/>
    </row>
    <row r="468" spans="7:8" s="83" customFormat="1" ht="11.25">
      <c r="G468" s="90"/>
      <c r="H468" s="90"/>
    </row>
    <row r="469" spans="7:8" s="83" customFormat="1" ht="11.25">
      <c r="G469" s="90"/>
      <c r="H469" s="90"/>
    </row>
    <row r="470" spans="7:8" s="83" customFormat="1" ht="11.25">
      <c r="G470" s="90"/>
      <c r="H470" s="90"/>
    </row>
    <row r="471" spans="7:8" s="83" customFormat="1" ht="11.25">
      <c r="G471" s="90"/>
      <c r="H471" s="90"/>
    </row>
    <row r="472" spans="7:8" s="83" customFormat="1" ht="11.25">
      <c r="G472" s="90"/>
      <c r="H472" s="90"/>
    </row>
    <row r="473" spans="7:8" s="83" customFormat="1" ht="11.25">
      <c r="G473" s="90"/>
      <c r="H473" s="90"/>
    </row>
    <row r="474" spans="7:8" s="83" customFormat="1" ht="11.25">
      <c r="G474" s="90"/>
      <c r="H474" s="90"/>
    </row>
    <row r="475" spans="7:8" s="83" customFormat="1" ht="11.25">
      <c r="G475" s="90"/>
      <c r="H475" s="90"/>
    </row>
    <row r="476" spans="7:8" s="83" customFormat="1" ht="11.25">
      <c r="G476" s="90"/>
      <c r="H476" s="90"/>
    </row>
    <row r="477" spans="7:8" s="83" customFormat="1" ht="11.25">
      <c r="G477" s="90"/>
      <c r="H477" s="90"/>
    </row>
    <row r="478" spans="7:8" s="83" customFormat="1" ht="11.25">
      <c r="G478" s="90"/>
      <c r="H478" s="90"/>
    </row>
    <row r="479" spans="7:8" s="83" customFormat="1" ht="11.25">
      <c r="G479" s="90"/>
      <c r="H479" s="90"/>
    </row>
    <row r="480" spans="7:8" s="83" customFormat="1" ht="11.25">
      <c r="G480" s="90"/>
      <c r="H480" s="90"/>
    </row>
    <row r="481" spans="7:8" s="83" customFormat="1" ht="11.25">
      <c r="G481" s="90"/>
      <c r="H481" s="90"/>
    </row>
    <row r="482" spans="7:8" s="83" customFormat="1" ht="11.25">
      <c r="G482" s="90"/>
      <c r="H482" s="90"/>
    </row>
    <row r="483" spans="7:8" s="83" customFormat="1" ht="11.25">
      <c r="G483" s="90"/>
      <c r="H483" s="90"/>
    </row>
    <row r="484" spans="7:8" s="83" customFormat="1" ht="11.25">
      <c r="G484" s="90"/>
      <c r="H484" s="90"/>
    </row>
    <row r="485" spans="7:8" s="83" customFormat="1" ht="11.25">
      <c r="G485" s="90"/>
      <c r="H485" s="90"/>
    </row>
    <row r="486" spans="7:8" s="83" customFormat="1" ht="11.25">
      <c r="G486" s="90"/>
      <c r="H486" s="90"/>
    </row>
    <row r="487" spans="7:8" s="83" customFormat="1" ht="11.25">
      <c r="G487" s="90"/>
      <c r="H487" s="90"/>
    </row>
    <row r="488" spans="7:8" s="83" customFormat="1" ht="11.25">
      <c r="G488" s="90"/>
      <c r="H488" s="90"/>
    </row>
    <row r="489" spans="7:8" s="83" customFormat="1" ht="11.25">
      <c r="G489" s="90"/>
      <c r="H489" s="90"/>
    </row>
    <row r="490" spans="7:8" s="83" customFormat="1" ht="11.25">
      <c r="G490" s="90"/>
      <c r="H490" s="90"/>
    </row>
    <row r="491" spans="7:8" s="83" customFormat="1" ht="11.25">
      <c r="G491" s="90"/>
      <c r="H491" s="90"/>
    </row>
    <row r="492" spans="7:8" s="83" customFormat="1" ht="11.25">
      <c r="G492" s="90"/>
      <c r="H492" s="90"/>
    </row>
    <row r="493" s="83" customFormat="1" ht="11.25"/>
    <row r="494" s="83" customFormat="1" ht="11.25"/>
    <row r="495" s="83" customFormat="1" ht="11.25"/>
    <row r="496" s="83" customFormat="1" ht="11.25"/>
    <row r="497" s="83" customFormat="1" ht="11.25"/>
    <row r="498" s="83" customFormat="1" ht="11.25"/>
    <row r="499" s="83" customFormat="1" ht="11.25"/>
    <row r="500" s="83" customFormat="1" ht="11.25"/>
    <row r="501" s="83" customFormat="1" ht="11.25"/>
    <row r="502" s="83" customFormat="1" ht="11.25"/>
    <row r="503" s="83" customFormat="1" ht="11.25"/>
    <row r="504" s="83" customFormat="1" ht="11.25"/>
    <row r="505" s="83" customFormat="1" ht="11.25"/>
    <row r="506" s="83" customFormat="1" ht="11.25"/>
    <row r="507" s="83" customFormat="1" ht="11.25"/>
    <row r="508" s="83" customFormat="1" ht="11.25"/>
    <row r="509" s="83" customFormat="1" ht="11.25"/>
    <row r="510" s="83" customFormat="1" ht="11.25"/>
    <row r="511" s="83" customFormat="1" ht="11.25"/>
    <row r="512" s="83" customFormat="1" ht="11.25"/>
    <row r="513" s="83" customFormat="1" ht="11.25"/>
    <row r="514" s="83" customFormat="1" ht="11.25"/>
    <row r="515" s="83" customFormat="1" ht="11.25"/>
    <row r="516" s="83" customFormat="1" ht="11.25"/>
    <row r="517" s="83" customFormat="1" ht="11.25"/>
    <row r="518" s="83" customFormat="1" ht="11.25"/>
    <row r="519" s="83" customFormat="1" ht="11.25"/>
    <row r="520" s="83" customFormat="1" ht="11.25"/>
    <row r="521" s="83" customFormat="1" ht="11.25"/>
    <row r="522" s="83" customFormat="1" ht="11.25"/>
    <row r="523" s="83" customFormat="1" ht="11.25"/>
    <row r="524" s="83" customFormat="1" ht="11.25"/>
    <row r="525" s="83" customFormat="1" ht="11.25"/>
    <row r="526" s="83" customFormat="1" ht="11.25"/>
    <row r="527" s="83" customFormat="1" ht="11.25"/>
    <row r="528" s="83" customFormat="1" ht="11.25"/>
    <row r="529" s="83" customFormat="1" ht="11.25"/>
    <row r="530" s="83" customFormat="1" ht="11.25"/>
    <row r="531" s="83" customFormat="1" ht="11.25"/>
    <row r="532" s="83" customFormat="1" ht="11.25"/>
    <row r="533" s="83" customFormat="1" ht="11.25"/>
    <row r="534" s="83" customFormat="1" ht="11.25"/>
    <row r="535" s="83" customFormat="1" ht="11.25"/>
    <row r="536" s="83" customFormat="1" ht="11.25"/>
    <row r="537" s="83" customFormat="1" ht="11.25"/>
    <row r="538" s="83" customFormat="1" ht="11.25"/>
    <row r="539" s="83" customFormat="1" ht="11.25"/>
    <row r="540" s="83" customFormat="1" ht="11.25"/>
    <row r="541" s="83" customFormat="1" ht="11.25"/>
    <row r="542" s="83" customFormat="1" ht="11.25"/>
    <row r="543" s="83" customFormat="1" ht="11.25"/>
    <row r="544" s="83" customFormat="1" ht="11.25"/>
    <row r="545" s="83" customFormat="1" ht="11.25"/>
    <row r="546" s="83" customFormat="1" ht="11.25"/>
    <row r="547" s="83" customFormat="1" ht="11.25"/>
    <row r="548" s="83" customFormat="1" ht="11.25"/>
    <row r="549" s="83" customFormat="1" ht="11.25"/>
    <row r="550" s="83" customFormat="1" ht="11.25"/>
    <row r="551" s="83" customFormat="1" ht="11.25"/>
    <row r="552" s="83" customFormat="1" ht="11.25"/>
    <row r="553" s="83" customFormat="1" ht="11.25"/>
    <row r="554" s="83" customFormat="1" ht="11.25"/>
    <row r="555" s="83" customFormat="1" ht="11.25"/>
    <row r="556" s="83" customFormat="1" ht="11.25"/>
    <row r="557" s="83" customFormat="1" ht="11.25"/>
    <row r="558" s="83" customFormat="1" ht="11.25"/>
    <row r="559" s="83" customFormat="1" ht="11.25"/>
    <row r="560" s="83" customFormat="1" ht="11.25"/>
    <row r="561" s="83" customFormat="1" ht="11.25"/>
    <row r="562" s="83" customFormat="1" ht="11.25"/>
    <row r="563" s="83" customFormat="1" ht="11.25"/>
    <row r="564" s="83" customFormat="1" ht="11.25"/>
    <row r="565" s="83" customFormat="1" ht="11.25"/>
    <row r="566" s="83" customFormat="1" ht="11.25"/>
    <row r="567" s="83" customFormat="1" ht="11.25"/>
    <row r="568" s="83" customFormat="1" ht="11.25"/>
    <row r="569" s="83" customFormat="1" ht="11.25"/>
    <row r="570" s="83" customFormat="1" ht="11.25"/>
    <row r="571" s="83" customFormat="1" ht="11.25"/>
    <row r="572" s="83" customFormat="1" ht="11.25"/>
    <row r="573" s="83" customFormat="1" ht="11.25"/>
    <row r="574" s="83" customFormat="1" ht="11.25"/>
    <row r="575" s="83" customFormat="1" ht="11.25"/>
    <row r="576" s="83" customFormat="1" ht="11.25"/>
    <row r="577" s="83" customFormat="1" ht="11.25"/>
    <row r="578" s="83" customFormat="1" ht="11.25"/>
    <row r="579" s="83" customFormat="1" ht="11.25"/>
    <row r="580" s="83" customFormat="1" ht="11.25"/>
    <row r="581" s="83" customFormat="1" ht="11.25"/>
    <row r="582" s="83" customFormat="1" ht="11.25"/>
    <row r="583" s="83" customFormat="1" ht="11.25"/>
    <row r="584" s="83" customFormat="1" ht="11.25"/>
    <row r="585" s="83" customFormat="1" ht="11.25"/>
    <row r="586" s="83" customFormat="1" ht="11.25"/>
    <row r="587" s="83" customFormat="1" ht="11.25"/>
    <row r="588" s="83" customFormat="1" ht="11.25"/>
    <row r="589" s="83" customFormat="1" ht="11.25"/>
    <row r="590" s="83" customFormat="1" ht="11.25"/>
    <row r="591" s="83" customFormat="1" ht="11.25"/>
    <row r="592" s="83" customFormat="1" ht="11.25"/>
    <row r="593" s="83" customFormat="1" ht="11.25"/>
    <row r="594" s="83" customFormat="1" ht="11.25"/>
    <row r="595" s="83" customFormat="1" ht="11.25"/>
    <row r="596" s="83" customFormat="1" ht="11.25"/>
    <row r="597" s="83" customFormat="1" ht="11.25"/>
    <row r="598" s="83" customFormat="1" ht="11.25"/>
    <row r="599" s="83" customFormat="1" ht="11.25"/>
    <row r="600" s="83" customFormat="1" ht="11.25"/>
    <row r="601" s="83" customFormat="1" ht="11.25"/>
    <row r="602" s="83" customFormat="1" ht="11.25"/>
    <row r="603" s="83" customFormat="1" ht="11.25"/>
    <row r="604" s="83" customFormat="1" ht="11.25"/>
    <row r="605" s="83" customFormat="1" ht="11.25"/>
    <row r="606" s="83" customFormat="1" ht="11.25"/>
    <row r="607" s="83" customFormat="1" ht="11.25"/>
    <row r="608" s="83" customFormat="1" ht="11.25"/>
    <row r="609" s="83" customFormat="1" ht="11.25"/>
    <row r="610" s="83" customFormat="1" ht="11.25"/>
    <row r="611" s="83" customFormat="1" ht="11.25"/>
    <row r="612" s="83" customFormat="1" ht="11.25"/>
    <row r="613" s="83" customFormat="1" ht="11.25"/>
    <row r="614" s="83" customFormat="1" ht="11.25"/>
    <row r="615" s="83" customFormat="1" ht="11.25"/>
    <row r="616" s="83" customFormat="1" ht="11.25"/>
    <row r="617" s="83" customFormat="1" ht="11.25"/>
    <row r="618" s="83" customFormat="1" ht="11.25"/>
    <row r="619" s="83" customFormat="1" ht="11.25"/>
    <row r="620" s="83" customFormat="1" ht="11.25"/>
    <row r="621" s="83" customFormat="1" ht="11.25"/>
    <row r="622" s="83" customFormat="1" ht="11.25"/>
    <row r="623" s="83" customFormat="1" ht="11.25"/>
    <row r="624" s="83" customFormat="1" ht="11.25"/>
    <row r="625" s="83" customFormat="1" ht="11.25"/>
    <row r="626" s="83" customFormat="1" ht="11.25"/>
    <row r="627" s="83" customFormat="1" ht="11.25"/>
    <row r="628" s="83" customFormat="1" ht="11.25"/>
    <row r="629" s="83" customFormat="1" ht="11.25"/>
    <row r="630" s="83" customFormat="1" ht="11.25"/>
    <row r="631" s="83" customFormat="1" ht="11.25"/>
    <row r="632" s="83" customFormat="1" ht="11.25"/>
    <row r="633" s="83" customFormat="1" ht="11.25"/>
    <row r="634" s="83" customFormat="1" ht="11.25"/>
    <row r="635" s="83" customFormat="1" ht="11.25"/>
    <row r="636" s="83" customFormat="1" ht="11.25"/>
    <row r="637" s="83" customFormat="1" ht="11.25"/>
    <row r="638" s="83" customFormat="1" ht="11.25"/>
    <row r="639" s="83" customFormat="1" ht="11.25"/>
    <row r="640" s="83" customFormat="1" ht="11.25"/>
    <row r="641" s="83" customFormat="1" ht="11.25"/>
    <row r="642" s="83" customFormat="1" ht="11.25"/>
    <row r="643" s="83" customFormat="1" ht="11.25"/>
    <row r="644" s="83" customFormat="1" ht="11.25"/>
    <row r="645" s="83" customFormat="1" ht="11.25"/>
    <row r="646" s="83" customFormat="1" ht="11.25"/>
    <row r="647" s="83" customFormat="1" ht="11.25"/>
    <row r="648" s="83" customFormat="1" ht="11.25"/>
    <row r="649" s="83" customFormat="1" ht="11.25"/>
    <row r="650" s="83" customFormat="1" ht="11.25"/>
    <row r="651" s="83" customFormat="1" ht="11.25"/>
    <row r="652" s="83" customFormat="1" ht="11.25"/>
    <row r="653" s="83" customFormat="1" ht="11.25"/>
    <row r="654" s="83" customFormat="1" ht="11.25"/>
    <row r="655" s="83" customFormat="1" ht="11.25"/>
    <row r="656" s="83" customFormat="1" ht="11.25"/>
    <row r="657" s="83" customFormat="1" ht="11.25"/>
    <row r="658" s="83" customFormat="1" ht="11.25"/>
    <row r="659" s="83" customFormat="1" ht="11.25"/>
    <row r="660" s="83" customFormat="1" ht="11.25"/>
    <row r="661" s="83" customFormat="1" ht="11.25"/>
    <row r="662" s="83" customFormat="1" ht="11.25"/>
    <row r="663" s="83" customFormat="1" ht="11.25"/>
    <row r="664" s="83" customFormat="1" ht="11.25"/>
    <row r="665" s="83" customFormat="1" ht="11.25"/>
    <row r="666" s="83" customFormat="1" ht="11.25"/>
    <row r="667" s="83" customFormat="1" ht="11.25"/>
    <row r="668" s="83" customFormat="1" ht="11.25"/>
    <row r="669" s="83" customFormat="1" ht="11.25"/>
    <row r="670" s="83" customFormat="1" ht="11.25"/>
    <row r="671" s="83" customFormat="1" ht="11.25"/>
    <row r="672" s="83" customFormat="1" ht="11.25"/>
    <row r="673" s="83" customFormat="1" ht="11.25"/>
    <row r="674" s="83" customFormat="1" ht="11.25"/>
    <row r="675" s="83" customFormat="1" ht="11.25"/>
    <row r="676" s="83" customFormat="1" ht="11.25"/>
    <row r="677" s="83" customFormat="1" ht="11.25"/>
    <row r="678" s="83" customFormat="1" ht="11.25"/>
    <row r="679" s="83" customFormat="1" ht="11.25"/>
    <row r="680" s="83" customFormat="1" ht="11.25"/>
    <row r="681" s="83" customFormat="1" ht="11.25"/>
    <row r="682" s="83" customFormat="1" ht="11.25"/>
    <row r="683" s="83" customFormat="1" ht="11.25"/>
    <row r="684" s="83" customFormat="1" ht="11.25"/>
    <row r="685" s="83" customFormat="1" ht="11.25"/>
    <row r="686" s="83" customFormat="1" ht="11.25"/>
    <row r="687" s="83" customFormat="1" ht="11.25"/>
    <row r="688" s="83" customFormat="1" ht="11.25"/>
    <row r="689" s="83" customFormat="1" ht="11.25"/>
    <row r="690" s="83" customFormat="1" ht="11.25"/>
    <row r="691" s="83" customFormat="1" ht="11.25"/>
    <row r="692" s="83" customFormat="1" ht="11.25"/>
    <row r="693" s="83" customFormat="1" ht="11.25"/>
    <row r="694" s="83" customFormat="1" ht="11.25"/>
    <row r="695" s="83" customFormat="1" ht="11.25"/>
    <row r="696" s="83" customFormat="1" ht="11.25"/>
    <row r="697" s="83" customFormat="1" ht="11.25"/>
    <row r="698" s="83" customFormat="1" ht="11.25"/>
    <row r="699" s="83" customFormat="1" ht="11.25"/>
    <row r="700" s="83" customFormat="1" ht="11.25"/>
    <row r="701" s="83" customFormat="1" ht="11.25"/>
    <row r="702" s="83" customFormat="1" ht="11.25"/>
    <row r="703" s="83" customFormat="1" ht="11.25"/>
    <row r="704" s="83" customFormat="1" ht="11.25"/>
    <row r="705" s="83" customFormat="1" ht="11.25"/>
    <row r="706" s="83" customFormat="1" ht="11.25"/>
    <row r="707" s="83" customFormat="1" ht="11.25"/>
    <row r="708" s="83" customFormat="1" ht="11.25"/>
    <row r="709" s="83" customFormat="1" ht="11.25"/>
    <row r="710" s="83" customFormat="1" ht="11.25"/>
    <row r="711" s="83" customFormat="1" ht="11.25"/>
    <row r="712" s="83" customFormat="1" ht="11.25"/>
    <row r="713" s="83" customFormat="1" ht="11.25"/>
    <row r="714" s="83" customFormat="1" ht="11.25"/>
    <row r="715" s="83" customFormat="1" ht="11.25"/>
    <row r="716" s="83" customFormat="1" ht="11.25"/>
    <row r="717" s="83" customFormat="1" ht="11.25"/>
    <row r="718" s="83" customFormat="1" ht="11.25"/>
    <row r="719" s="83" customFormat="1" ht="11.25"/>
    <row r="720" s="83" customFormat="1" ht="11.25"/>
    <row r="721" s="83" customFormat="1" ht="11.25"/>
    <row r="722" s="83" customFormat="1" ht="11.25"/>
    <row r="723" s="83" customFormat="1" ht="11.25"/>
    <row r="724" s="83" customFormat="1" ht="11.25"/>
    <row r="725" s="83" customFormat="1" ht="11.25"/>
    <row r="726" s="83" customFormat="1" ht="11.25"/>
    <row r="727" s="83" customFormat="1" ht="11.25"/>
    <row r="728" s="83" customFormat="1" ht="11.25"/>
    <row r="729" s="83" customFormat="1" ht="11.25"/>
    <row r="730" s="83" customFormat="1" ht="11.25"/>
    <row r="731" s="83" customFormat="1" ht="11.25"/>
    <row r="732" s="83" customFormat="1" ht="11.25"/>
    <row r="733" s="83" customFormat="1" ht="11.25"/>
    <row r="734" s="83" customFormat="1" ht="11.25"/>
    <row r="735" s="83" customFormat="1" ht="11.25"/>
    <row r="736" s="83" customFormat="1" ht="11.25"/>
    <row r="737" s="83" customFormat="1" ht="11.25"/>
    <row r="738" s="83" customFormat="1" ht="11.25"/>
    <row r="739" s="83" customFormat="1" ht="11.25"/>
    <row r="740" s="83" customFormat="1" ht="11.25"/>
    <row r="741" s="83" customFormat="1" ht="11.25"/>
    <row r="742" s="83" customFormat="1" ht="11.25"/>
    <row r="743" s="83" customFormat="1" ht="11.25"/>
    <row r="744" s="83" customFormat="1" ht="11.25"/>
    <row r="745" s="83" customFormat="1" ht="11.25"/>
    <row r="746" s="83" customFormat="1" ht="11.25"/>
    <row r="747" s="83" customFormat="1" ht="11.25"/>
    <row r="748" s="83" customFormat="1" ht="11.25"/>
    <row r="749" s="83" customFormat="1" ht="11.25"/>
    <row r="750" s="83" customFormat="1" ht="11.25"/>
    <row r="751" s="83" customFormat="1" ht="11.25"/>
    <row r="752" s="83" customFormat="1" ht="11.25"/>
    <row r="753" s="83" customFormat="1" ht="11.25"/>
    <row r="754" s="83" customFormat="1" ht="11.25"/>
    <row r="755" s="83" customFormat="1" ht="11.25"/>
    <row r="756" s="83" customFormat="1" ht="11.25"/>
    <row r="757" s="83" customFormat="1" ht="11.25"/>
    <row r="758" s="83" customFormat="1" ht="11.25"/>
    <row r="759" s="83" customFormat="1" ht="11.25"/>
    <row r="760" s="83" customFormat="1" ht="11.25"/>
    <row r="761" s="83" customFormat="1" ht="11.25"/>
    <row r="762" s="83" customFormat="1" ht="11.25"/>
    <row r="763" s="83" customFormat="1" ht="11.25"/>
    <row r="764" s="83" customFormat="1" ht="11.25"/>
    <row r="765" s="83" customFormat="1" ht="11.25"/>
    <row r="766" s="83" customFormat="1" ht="11.25"/>
    <row r="767" s="83" customFormat="1" ht="11.25"/>
    <row r="768" s="83" customFormat="1" ht="11.25"/>
    <row r="769" s="83" customFormat="1" ht="11.25"/>
    <row r="770" s="83" customFormat="1" ht="11.25"/>
    <row r="771" s="83" customFormat="1" ht="11.25"/>
    <row r="772" s="83" customFormat="1" ht="11.25"/>
    <row r="773" s="83" customFormat="1" ht="11.25"/>
    <row r="774" s="83" customFormat="1" ht="11.25"/>
    <row r="775" s="83" customFormat="1" ht="11.25"/>
    <row r="776" s="83" customFormat="1" ht="11.25"/>
    <row r="777" s="83" customFormat="1" ht="11.25"/>
    <row r="778" s="83" customFormat="1" ht="11.25"/>
    <row r="779" s="83" customFormat="1" ht="11.25"/>
    <row r="780" s="83" customFormat="1" ht="11.25"/>
    <row r="781" s="83" customFormat="1" ht="11.25"/>
    <row r="782" s="83" customFormat="1" ht="11.25"/>
    <row r="783" s="83" customFormat="1" ht="11.25"/>
    <row r="784" s="83" customFormat="1" ht="11.25"/>
    <row r="785" s="83" customFormat="1" ht="11.25"/>
    <row r="786" s="83" customFormat="1" ht="11.25"/>
    <row r="787" s="83" customFormat="1" ht="11.25"/>
    <row r="788" s="83" customFormat="1" ht="11.25"/>
    <row r="789" s="83" customFormat="1" ht="11.25"/>
    <row r="790" s="83" customFormat="1" ht="11.25"/>
    <row r="791" s="83" customFormat="1" ht="11.25"/>
    <row r="792" s="83" customFormat="1" ht="11.25"/>
    <row r="793" s="83" customFormat="1" ht="11.25"/>
    <row r="794" s="83" customFormat="1" ht="11.25"/>
    <row r="795" s="83" customFormat="1" ht="11.25"/>
    <row r="796" s="83" customFormat="1" ht="11.25"/>
    <row r="797" s="83" customFormat="1" ht="11.25"/>
    <row r="798" s="83" customFormat="1" ht="11.25"/>
    <row r="799" s="83" customFormat="1" ht="11.25"/>
    <row r="800" s="83" customFormat="1" ht="11.25"/>
    <row r="801" s="83" customFormat="1" ht="11.25"/>
    <row r="802" s="83" customFormat="1" ht="11.25"/>
    <row r="803" s="83" customFormat="1" ht="11.25"/>
    <row r="804" s="83" customFormat="1" ht="11.25"/>
    <row r="805" s="83" customFormat="1" ht="11.25"/>
    <row r="806" s="83" customFormat="1" ht="11.25"/>
    <row r="807" s="83" customFormat="1" ht="11.25"/>
    <row r="808" s="83" customFormat="1" ht="11.25"/>
    <row r="809" s="83" customFormat="1" ht="11.25"/>
    <row r="810" s="83" customFormat="1" ht="11.25"/>
    <row r="811" s="83" customFormat="1" ht="11.25"/>
    <row r="812" s="83" customFormat="1" ht="11.25"/>
    <row r="813" s="83" customFormat="1" ht="11.25"/>
    <row r="814" s="83" customFormat="1" ht="11.25"/>
    <row r="815" s="83" customFormat="1" ht="11.25"/>
    <row r="816" s="83" customFormat="1" ht="11.25"/>
    <row r="817" s="83" customFormat="1" ht="11.25"/>
    <row r="818" s="83" customFormat="1" ht="11.25"/>
    <row r="819" s="83" customFormat="1" ht="11.25"/>
    <row r="820" s="83" customFormat="1" ht="11.25"/>
    <row r="821" s="83" customFormat="1" ht="11.25"/>
    <row r="822" s="83" customFormat="1" ht="11.25"/>
    <row r="823" s="83" customFormat="1" ht="11.25"/>
    <row r="824" s="83" customFormat="1" ht="11.25"/>
    <row r="825" s="83" customFormat="1" ht="11.25"/>
    <row r="826" s="83" customFormat="1" ht="11.25"/>
    <row r="827" s="83" customFormat="1" ht="11.25"/>
    <row r="828" s="83" customFormat="1" ht="11.25"/>
    <row r="829" s="83" customFormat="1" ht="11.25"/>
    <row r="830" s="83" customFormat="1" ht="11.25"/>
    <row r="831" s="83" customFormat="1" ht="11.25"/>
    <row r="832" s="83" customFormat="1" ht="11.25"/>
    <row r="833" s="83" customFormat="1" ht="11.25"/>
    <row r="834" s="83" customFormat="1" ht="11.25"/>
    <row r="835" s="83" customFormat="1" ht="11.25"/>
    <row r="836" s="83" customFormat="1" ht="11.25"/>
    <row r="837" s="83" customFormat="1" ht="11.25"/>
    <row r="838" s="83" customFormat="1" ht="11.25"/>
    <row r="839" s="83" customFormat="1" ht="11.25"/>
    <row r="840" s="83" customFormat="1" ht="11.25"/>
    <row r="841" s="83" customFormat="1" ht="11.25"/>
    <row r="842" s="83" customFormat="1" ht="11.25"/>
    <row r="843" s="83" customFormat="1" ht="11.25"/>
    <row r="844" s="83" customFormat="1" ht="11.25"/>
    <row r="845" s="83" customFormat="1" ht="11.25"/>
    <row r="846" s="83" customFormat="1" ht="11.25"/>
    <row r="847" s="83" customFormat="1" ht="11.25"/>
    <row r="848" s="83" customFormat="1" ht="11.25"/>
    <row r="849" s="83" customFormat="1" ht="11.25"/>
    <row r="850" s="83" customFormat="1" ht="11.25"/>
    <row r="851" s="83" customFormat="1" ht="11.25"/>
    <row r="852" s="83" customFormat="1" ht="11.25"/>
    <row r="853" s="83" customFormat="1" ht="11.25"/>
    <row r="854" s="83" customFormat="1" ht="11.25"/>
    <row r="855" s="83" customFormat="1" ht="11.25"/>
    <row r="856" s="83" customFormat="1" ht="11.25"/>
    <row r="857" s="83" customFormat="1" ht="11.25"/>
    <row r="858" s="83" customFormat="1" ht="11.25"/>
    <row r="859" s="83" customFormat="1" ht="11.25"/>
    <row r="860" s="83" customFormat="1" ht="11.25"/>
    <row r="861" s="83" customFormat="1" ht="11.25"/>
    <row r="862" s="83" customFormat="1" ht="11.25"/>
    <row r="863" s="83" customFormat="1" ht="11.25"/>
    <row r="864" s="83" customFormat="1" ht="11.25"/>
    <row r="865" s="83" customFormat="1" ht="11.25"/>
    <row r="866" s="83" customFormat="1" ht="11.25"/>
    <row r="867" s="83" customFormat="1" ht="11.25"/>
    <row r="868" s="83" customFormat="1" ht="11.25"/>
    <row r="869" s="83" customFormat="1" ht="11.25"/>
    <row r="870" s="83" customFormat="1" ht="11.25"/>
    <row r="871" s="83" customFormat="1" ht="11.25"/>
    <row r="872" s="83" customFormat="1" ht="11.25"/>
    <row r="873" s="83" customFormat="1" ht="11.25"/>
    <row r="874" s="83" customFormat="1" ht="11.25"/>
    <row r="875" s="83" customFormat="1" ht="11.25"/>
    <row r="876" s="83" customFormat="1" ht="11.25"/>
    <row r="877" s="83" customFormat="1" ht="11.25"/>
    <row r="878" s="83" customFormat="1" ht="11.25"/>
    <row r="879" s="83" customFormat="1" ht="11.25"/>
    <row r="880" s="83" customFormat="1" ht="11.25"/>
    <row r="881" s="83" customFormat="1" ht="11.25"/>
    <row r="882" s="83" customFormat="1" ht="11.25"/>
    <row r="883" s="83" customFormat="1" ht="11.25"/>
    <row r="884" s="83" customFormat="1" ht="11.25"/>
    <row r="885" s="83" customFormat="1" ht="11.25"/>
    <row r="886" s="83" customFormat="1" ht="11.25"/>
    <row r="887" s="83" customFormat="1" ht="11.25"/>
    <row r="888" s="83" customFormat="1" ht="11.25"/>
    <row r="889" s="83" customFormat="1" ht="11.25"/>
    <row r="890" s="83" customFormat="1" ht="11.25"/>
    <row r="891" s="83" customFormat="1" ht="11.25"/>
    <row r="892" s="83" customFormat="1" ht="11.25"/>
    <row r="893" s="83" customFormat="1" ht="11.25"/>
    <row r="894" s="83" customFormat="1" ht="11.25"/>
    <row r="895" s="83" customFormat="1" ht="11.25"/>
    <row r="896" s="83" customFormat="1" ht="11.25"/>
    <row r="897" s="83" customFormat="1" ht="11.25"/>
    <row r="898" s="83" customFormat="1" ht="11.25"/>
    <row r="899" s="83" customFormat="1" ht="11.25"/>
    <row r="900" s="83" customFormat="1" ht="11.25"/>
    <row r="901" s="83" customFormat="1" ht="11.25"/>
    <row r="902" s="83" customFormat="1" ht="11.25"/>
    <row r="903" s="83" customFormat="1" ht="11.25"/>
    <row r="904" s="83" customFormat="1" ht="11.25"/>
    <row r="905" s="83" customFormat="1" ht="11.25"/>
    <row r="906" s="83" customFormat="1" ht="11.25"/>
    <row r="907" s="83" customFormat="1" ht="11.25"/>
    <row r="908" s="83" customFormat="1" ht="11.25"/>
    <row r="909" s="83" customFormat="1" ht="11.25"/>
    <row r="910" s="83" customFormat="1" ht="11.25"/>
    <row r="911" s="83" customFormat="1" ht="11.25"/>
    <row r="912" s="83" customFormat="1" ht="11.25"/>
    <row r="913" s="83" customFormat="1" ht="11.25"/>
    <row r="914" s="83" customFormat="1" ht="11.25"/>
    <row r="915" s="83" customFormat="1" ht="11.25"/>
    <row r="916" s="83" customFormat="1" ht="11.25"/>
    <row r="917" s="83" customFormat="1" ht="11.25"/>
    <row r="918" s="83" customFormat="1" ht="11.25"/>
    <row r="919" s="83" customFormat="1" ht="11.25"/>
    <row r="920" s="83" customFormat="1" ht="11.25"/>
    <row r="921" s="83" customFormat="1" ht="11.25"/>
    <row r="922" s="83" customFormat="1" ht="11.25"/>
    <row r="923" s="83" customFormat="1" ht="11.25"/>
    <row r="924" s="83" customFormat="1" ht="11.25"/>
    <row r="925" s="83" customFormat="1" ht="11.25"/>
    <row r="926" s="83" customFormat="1" ht="11.25"/>
    <row r="927" s="83" customFormat="1" ht="11.25"/>
    <row r="928" s="83" customFormat="1" ht="11.25"/>
    <row r="929" s="83" customFormat="1" ht="11.25"/>
    <row r="930" s="83" customFormat="1" ht="11.25"/>
    <row r="931" s="83" customFormat="1" ht="11.25"/>
    <row r="932" s="83" customFormat="1" ht="11.25"/>
    <row r="933" s="83" customFormat="1" ht="11.25"/>
    <row r="934" s="83" customFormat="1" ht="11.25"/>
    <row r="935" s="83" customFormat="1" ht="11.25"/>
    <row r="936" s="83" customFormat="1" ht="11.25"/>
    <row r="937" s="83" customFormat="1" ht="11.25"/>
    <row r="938" s="83" customFormat="1" ht="11.25"/>
    <row r="939" s="83" customFormat="1" ht="11.25"/>
    <row r="940" s="83" customFormat="1" ht="11.25"/>
    <row r="941" s="83" customFormat="1" ht="11.25"/>
    <row r="942" s="83" customFormat="1" ht="11.25"/>
    <row r="943" s="83" customFormat="1" ht="11.25"/>
    <row r="944" s="83" customFormat="1" ht="11.25"/>
    <row r="945" s="83" customFormat="1" ht="11.25"/>
    <row r="946" s="83" customFormat="1" ht="11.25"/>
    <row r="947" s="83" customFormat="1" ht="11.25"/>
    <row r="948" s="83" customFormat="1" ht="11.25"/>
    <row r="949" s="83" customFormat="1" ht="11.25"/>
    <row r="950" s="83" customFormat="1" ht="11.25"/>
    <row r="951" s="83" customFormat="1" ht="11.25"/>
    <row r="952" s="83" customFormat="1" ht="11.25"/>
    <row r="953" s="83" customFormat="1" ht="11.25"/>
    <row r="954" s="83" customFormat="1" ht="11.25"/>
    <row r="955" s="83" customFormat="1" ht="11.25"/>
    <row r="956" s="83" customFormat="1" ht="11.25"/>
    <row r="957" s="83" customFormat="1" ht="11.25"/>
    <row r="958" s="83" customFormat="1" ht="11.25"/>
    <row r="959" s="83" customFormat="1" ht="11.25"/>
    <row r="960" s="83" customFormat="1" ht="11.25"/>
    <row r="961" s="83" customFormat="1" ht="11.25"/>
    <row r="962" s="83" customFormat="1" ht="11.25"/>
    <row r="963" s="83" customFormat="1" ht="11.25"/>
    <row r="964" s="83" customFormat="1" ht="11.25"/>
    <row r="965" s="83" customFormat="1" ht="11.25"/>
    <row r="966" s="83" customFormat="1" ht="11.25"/>
    <row r="967" s="83" customFormat="1" ht="11.25"/>
    <row r="968" s="83" customFormat="1" ht="11.25"/>
    <row r="969" s="83" customFormat="1" ht="11.25"/>
    <row r="970" s="83" customFormat="1" ht="11.25"/>
    <row r="971" s="83" customFormat="1" ht="11.25"/>
    <row r="972" s="83" customFormat="1" ht="11.25"/>
    <row r="973" s="83" customFormat="1" ht="11.25"/>
    <row r="974" s="83" customFormat="1" ht="11.25"/>
    <row r="975" s="83" customFormat="1" ht="11.25"/>
    <row r="976" s="83" customFormat="1" ht="11.25"/>
    <row r="977" s="83" customFormat="1" ht="11.25"/>
    <row r="978" s="83" customFormat="1" ht="11.25"/>
    <row r="979" s="83" customFormat="1" ht="11.25"/>
    <row r="980" s="83" customFormat="1" ht="11.25"/>
    <row r="981" s="83" customFormat="1" ht="11.25"/>
    <row r="982" s="83" customFormat="1" ht="11.25"/>
    <row r="983" s="83" customFormat="1" ht="11.25"/>
    <row r="984" s="83" customFormat="1" ht="11.25"/>
    <row r="985" s="83" customFormat="1" ht="11.25"/>
    <row r="986" s="83" customFormat="1" ht="11.25"/>
    <row r="987" s="83" customFormat="1" ht="11.25"/>
    <row r="988" s="83" customFormat="1" ht="11.25"/>
    <row r="989" s="83" customFormat="1" ht="11.25"/>
    <row r="990" s="83" customFormat="1" ht="11.25"/>
    <row r="991" s="83" customFormat="1" ht="11.25"/>
    <row r="992" s="83" customFormat="1" ht="11.25"/>
    <row r="993" s="83" customFormat="1" ht="11.25"/>
    <row r="994" s="83" customFormat="1" ht="11.25"/>
    <row r="995" s="83" customFormat="1" ht="11.25"/>
    <row r="996" s="83" customFormat="1" ht="11.25"/>
    <row r="997" s="83" customFormat="1" ht="11.25"/>
    <row r="998" s="83" customFormat="1" ht="11.25"/>
    <row r="999" s="83" customFormat="1" ht="11.25"/>
    <row r="1000" s="83" customFormat="1" ht="11.25"/>
    <row r="1001" s="83" customFormat="1" ht="11.25"/>
    <row r="1002" s="83" customFormat="1" ht="11.25"/>
    <row r="1003" s="83" customFormat="1" ht="11.25"/>
    <row r="1004" s="83" customFormat="1" ht="11.25"/>
    <row r="1005" s="83" customFormat="1" ht="11.25"/>
    <row r="1006" s="83" customFormat="1" ht="11.25"/>
    <row r="1007" s="83" customFormat="1" ht="11.25"/>
    <row r="1008" s="83" customFormat="1" ht="11.25"/>
    <row r="1009" s="83" customFormat="1" ht="11.25"/>
    <row r="1010" s="83" customFormat="1" ht="11.25"/>
    <row r="1011" s="83" customFormat="1" ht="11.25"/>
    <row r="1012" s="83" customFormat="1" ht="11.25"/>
    <row r="1013" s="83" customFormat="1" ht="11.25"/>
    <row r="1014" s="83" customFormat="1" ht="11.25"/>
    <row r="1015" s="83" customFormat="1" ht="11.25"/>
    <row r="1016" s="83" customFormat="1" ht="11.25"/>
    <row r="1017" s="83" customFormat="1" ht="11.25"/>
    <row r="1018" s="83" customFormat="1" ht="11.25"/>
    <row r="1019" s="83" customFormat="1" ht="11.25"/>
    <row r="1020" s="83" customFormat="1" ht="11.25"/>
    <row r="1021" s="83" customFormat="1" ht="11.25"/>
    <row r="1022" s="83" customFormat="1" ht="11.25"/>
    <row r="1023" s="83" customFormat="1" ht="11.25"/>
    <row r="1024" s="83" customFormat="1" ht="11.25"/>
    <row r="1025" s="83" customFormat="1" ht="11.25"/>
    <row r="1026" s="83" customFormat="1" ht="11.25"/>
    <row r="1027" s="83" customFormat="1" ht="11.25"/>
    <row r="1028" s="83" customFormat="1" ht="11.25"/>
    <row r="1029" s="83" customFormat="1" ht="11.25"/>
    <row r="1030" s="83" customFormat="1" ht="11.25"/>
    <row r="1031" s="83" customFormat="1" ht="11.25"/>
    <row r="1032" s="83" customFormat="1" ht="11.25"/>
    <row r="1033" s="83" customFormat="1" ht="11.25"/>
    <row r="1034" s="83" customFormat="1" ht="11.25"/>
    <row r="1035" s="83" customFormat="1" ht="11.25"/>
    <row r="1036" s="83" customFormat="1" ht="11.25"/>
    <row r="1037" s="83" customFormat="1" ht="11.25"/>
    <row r="1038" s="83" customFormat="1" ht="11.25"/>
    <row r="1039" s="83" customFormat="1" ht="11.25"/>
    <row r="1040" s="83" customFormat="1" ht="11.25"/>
    <row r="1041" s="83" customFormat="1" ht="11.25"/>
    <row r="1042" s="83" customFormat="1" ht="11.25"/>
    <row r="1043" s="83" customFormat="1" ht="11.25"/>
    <row r="1044" s="83" customFormat="1" ht="11.25"/>
    <row r="1045" s="83" customFormat="1" ht="11.25"/>
    <row r="1046" s="83" customFormat="1" ht="11.25"/>
    <row r="1047" s="83" customFormat="1" ht="11.25"/>
    <row r="1048" s="83" customFormat="1" ht="11.25"/>
    <row r="1049" s="83" customFormat="1" ht="11.25"/>
    <row r="1050" s="83" customFormat="1" ht="11.25"/>
    <row r="1051" s="83" customFormat="1" ht="11.25"/>
    <row r="1052" s="83" customFormat="1" ht="11.25"/>
    <row r="1053" s="83" customFormat="1" ht="11.25"/>
    <row r="1054" s="83" customFormat="1" ht="11.25"/>
    <row r="1055" s="83" customFormat="1" ht="11.25"/>
    <row r="1056" s="83" customFormat="1" ht="11.25"/>
    <row r="1057" s="83" customFormat="1" ht="11.25"/>
    <row r="1058" s="83" customFormat="1" ht="11.25"/>
    <row r="1059" s="83" customFormat="1" ht="11.25"/>
    <row r="1060" s="83" customFormat="1" ht="11.25"/>
    <row r="1061" s="83" customFormat="1" ht="11.25"/>
    <row r="1062" s="83" customFormat="1" ht="11.25"/>
    <row r="1063" s="83" customFormat="1" ht="11.25"/>
    <row r="1064" s="83" customFormat="1" ht="11.25"/>
    <row r="1065" s="83" customFormat="1" ht="11.25"/>
    <row r="1066" s="83" customFormat="1" ht="11.25"/>
    <row r="1067" s="83" customFormat="1" ht="11.25"/>
    <row r="1068" s="83" customFormat="1" ht="11.25"/>
    <row r="1069" s="83" customFormat="1" ht="11.25"/>
    <row r="1070" s="83" customFormat="1" ht="11.25"/>
    <row r="1071" s="83" customFormat="1" ht="11.25"/>
    <row r="1072" s="83" customFormat="1" ht="11.25"/>
    <row r="1073" s="83" customFormat="1" ht="11.25"/>
    <row r="1074" s="83" customFormat="1" ht="11.25"/>
    <row r="1075" s="83" customFormat="1" ht="11.25"/>
    <row r="1076" s="83" customFormat="1" ht="11.25"/>
    <row r="1077" s="83" customFormat="1" ht="11.25"/>
    <row r="1078" s="83" customFormat="1" ht="11.25"/>
    <row r="1079" s="83" customFormat="1" ht="11.25"/>
    <row r="1080" s="83" customFormat="1" ht="11.25"/>
    <row r="1081" s="83" customFormat="1" ht="11.25"/>
    <row r="1082" s="83" customFormat="1" ht="11.25"/>
    <row r="1083" s="83" customFormat="1" ht="11.25"/>
    <row r="1084" s="83" customFormat="1" ht="11.25"/>
    <row r="1085" s="83" customFormat="1" ht="11.25"/>
    <row r="1086" s="83" customFormat="1" ht="11.25"/>
    <row r="1087" s="83" customFormat="1" ht="11.25"/>
    <row r="1088" s="83" customFormat="1" ht="11.25"/>
    <row r="1089" s="83" customFormat="1" ht="11.25"/>
    <row r="1090" s="83" customFormat="1" ht="11.25"/>
    <row r="1091" s="83" customFormat="1" ht="11.25"/>
    <row r="1092" s="83" customFormat="1" ht="11.25"/>
    <row r="1093" s="83" customFormat="1" ht="11.25"/>
    <row r="1094" s="83" customFormat="1" ht="11.25"/>
    <row r="1095" s="83" customFormat="1" ht="11.25"/>
    <row r="1096" s="83" customFormat="1" ht="11.25"/>
    <row r="1097" s="83" customFormat="1" ht="11.25"/>
    <row r="1098" s="83" customFormat="1" ht="11.25"/>
    <row r="1099" s="83" customFormat="1" ht="11.25"/>
    <row r="1100" s="83" customFormat="1" ht="11.25"/>
    <row r="1101" s="83" customFormat="1" ht="11.25"/>
    <row r="1102" s="83" customFormat="1" ht="11.25"/>
    <row r="1103" s="83" customFormat="1" ht="11.25"/>
    <row r="1104" s="83" customFormat="1" ht="11.25"/>
    <row r="1105" s="83" customFormat="1" ht="11.25"/>
    <row r="1106" s="83" customFormat="1" ht="11.25"/>
    <row r="1107" s="83" customFormat="1" ht="11.25"/>
    <row r="1108" s="83" customFormat="1" ht="11.25"/>
    <row r="1109" s="83" customFormat="1" ht="11.25"/>
    <row r="1110" s="83" customFormat="1" ht="11.25"/>
    <row r="1111" s="83" customFormat="1" ht="11.25"/>
    <row r="1112" s="83" customFormat="1" ht="11.25"/>
    <row r="1113" s="83" customFormat="1" ht="11.25"/>
    <row r="1114" s="83" customFormat="1" ht="11.25"/>
    <row r="1115" s="83" customFormat="1" ht="11.25"/>
    <row r="1116" s="83" customFormat="1" ht="11.25"/>
    <row r="1117" s="83" customFormat="1" ht="11.25"/>
    <row r="1118" s="83" customFormat="1" ht="11.25"/>
    <row r="1119" s="83" customFormat="1" ht="11.25"/>
    <row r="1120" s="83" customFormat="1" ht="11.25"/>
    <row r="1121" s="83" customFormat="1" ht="11.25"/>
    <row r="1122" s="83" customFormat="1" ht="11.25"/>
    <row r="1123" s="83" customFormat="1" ht="11.25"/>
    <row r="1124" s="83" customFormat="1" ht="11.25"/>
    <row r="1125" s="83" customFormat="1" ht="11.25"/>
    <row r="1126" s="83" customFormat="1" ht="11.25"/>
    <row r="1127" s="83" customFormat="1" ht="11.25"/>
    <row r="1128" s="83" customFormat="1" ht="11.25"/>
    <row r="1129" s="83" customFormat="1" ht="11.25"/>
    <row r="1130" s="83" customFormat="1" ht="11.25"/>
    <row r="1131" s="83" customFormat="1" ht="11.25"/>
    <row r="1132" s="83" customFormat="1" ht="11.25"/>
    <row r="1133" s="83" customFormat="1" ht="11.25"/>
    <row r="1134" s="83" customFormat="1" ht="11.25"/>
    <row r="1135" s="83" customFormat="1" ht="11.25"/>
    <row r="1136" s="83" customFormat="1" ht="11.25"/>
    <row r="1137" s="83" customFormat="1" ht="11.25"/>
    <row r="1138" s="83" customFormat="1" ht="11.25"/>
    <row r="1139" s="83" customFormat="1" ht="11.25"/>
    <row r="1140" s="83" customFormat="1" ht="11.25"/>
    <row r="1141" s="83" customFormat="1" ht="11.25"/>
    <row r="1142" s="83" customFormat="1" ht="11.25"/>
    <row r="1143" s="83" customFormat="1" ht="11.25"/>
    <row r="1144" s="83" customFormat="1" ht="11.25"/>
    <row r="1145" s="83" customFormat="1" ht="11.25"/>
    <row r="1146" s="83" customFormat="1" ht="11.25"/>
    <row r="1147" s="83" customFormat="1" ht="11.25"/>
    <row r="1148" s="83" customFormat="1" ht="11.25"/>
    <row r="1149" s="83" customFormat="1" ht="11.25"/>
    <row r="1150" s="83" customFormat="1" ht="11.25"/>
    <row r="1151" s="83" customFormat="1" ht="11.25"/>
    <row r="1152" s="83" customFormat="1" ht="11.25"/>
    <row r="1153" s="83" customFormat="1" ht="11.25"/>
    <row r="1154" s="83" customFormat="1" ht="11.25"/>
    <row r="1155" s="83" customFormat="1" ht="11.25"/>
    <row r="1156" s="83" customFormat="1" ht="11.25"/>
    <row r="1157" s="83" customFormat="1" ht="11.25"/>
    <row r="1158" s="83" customFormat="1" ht="11.25"/>
    <row r="1159" s="83" customFormat="1" ht="11.25"/>
    <row r="1160" s="83" customFormat="1" ht="11.25"/>
    <row r="1161" s="83" customFormat="1" ht="11.25"/>
    <row r="1162" s="83" customFormat="1" ht="11.25"/>
  </sheetData>
  <sheetProtection/>
  <mergeCells count="8">
    <mergeCell ref="H5:H6"/>
    <mergeCell ref="D1:F2"/>
    <mergeCell ref="A3:F3"/>
    <mergeCell ref="A4:D4"/>
    <mergeCell ref="E4:F4"/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49.25390625" style="0" customWidth="1"/>
    <col min="2" max="2" width="7.625" style="0" customWidth="1"/>
    <col min="3" max="3" width="6.875" style="0" customWidth="1"/>
    <col min="4" max="4" width="9.875" style="0" customWidth="1"/>
    <col min="5" max="5" width="6.00390625" style="0" customWidth="1"/>
    <col min="6" max="6" width="15.75390625" style="0" customWidth="1"/>
    <col min="8" max="8" width="13.875" style="0" customWidth="1"/>
    <col min="9" max="9" width="12.875" style="0" customWidth="1"/>
  </cols>
  <sheetData>
    <row r="1" spans="4:6" ht="25.5" customHeight="1">
      <c r="D1" s="150" t="s">
        <v>459</v>
      </c>
      <c r="E1" s="150"/>
      <c r="F1" s="150"/>
    </row>
    <row r="2" spans="4:6" ht="54.75" customHeight="1">
      <c r="D2" s="150"/>
      <c r="E2" s="150"/>
      <c r="F2" s="150"/>
    </row>
    <row r="3" spans="1:7" ht="28.5" customHeight="1">
      <c r="A3" s="139" t="s">
        <v>257</v>
      </c>
      <c r="B3" s="139"/>
      <c r="C3" s="139"/>
      <c r="D3" s="139"/>
      <c r="E3" s="139"/>
      <c r="F3" s="139"/>
      <c r="G3" s="67"/>
    </row>
    <row r="4" spans="1:6" ht="16.5" customHeight="1">
      <c r="A4" s="136" t="s">
        <v>449</v>
      </c>
      <c r="B4" s="136"/>
      <c r="C4" s="136"/>
      <c r="D4" s="136"/>
      <c r="E4" s="131" t="s">
        <v>251</v>
      </c>
      <c r="F4" s="50"/>
    </row>
    <row r="5" spans="1:8" ht="12.75" customHeight="1">
      <c r="A5" s="140" t="s">
        <v>0</v>
      </c>
      <c r="B5" s="140" t="s">
        <v>1</v>
      </c>
      <c r="C5" s="140"/>
      <c r="D5" s="140"/>
      <c r="E5" s="140"/>
      <c r="F5" s="132" t="s">
        <v>200</v>
      </c>
      <c r="G5" s="35"/>
      <c r="H5" s="133"/>
    </row>
    <row r="6" spans="1:8" ht="35.25" customHeight="1">
      <c r="A6" s="140"/>
      <c r="B6" s="2" t="s">
        <v>4</v>
      </c>
      <c r="C6" s="3" t="s">
        <v>5</v>
      </c>
      <c r="D6" s="3" t="s">
        <v>6</v>
      </c>
      <c r="E6" s="3" t="s">
        <v>7</v>
      </c>
      <c r="F6" s="132"/>
      <c r="G6" s="35"/>
      <c r="H6" s="133"/>
    </row>
    <row r="7" spans="1:8" ht="12.75">
      <c r="A7" s="5" t="s">
        <v>3</v>
      </c>
      <c r="B7" s="9" t="s">
        <v>9</v>
      </c>
      <c r="C7" s="9" t="s">
        <v>10</v>
      </c>
      <c r="D7" s="9" t="s">
        <v>8</v>
      </c>
      <c r="E7" s="9" t="s">
        <v>11</v>
      </c>
      <c r="F7" s="20">
        <f>F8+F11+F16+F27+F34</f>
        <v>49115731.67</v>
      </c>
      <c r="G7" s="38"/>
      <c r="H7" s="39"/>
    </row>
    <row r="8" spans="1:8" ht="21.75" customHeight="1">
      <c r="A8" s="6" t="s">
        <v>12</v>
      </c>
      <c r="B8" s="10" t="s">
        <v>9</v>
      </c>
      <c r="C8" s="10" t="s">
        <v>13</v>
      </c>
      <c r="D8" s="10" t="s">
        <v>8</v>
      </c>
      <c r="E8" s="10" t="s">
        <v>11</v>
      </c>
      <c r="F8" s="21">
        <f>F9</f>
        <v>1209024.05</v>
      </c>
      <c r="G8" s="40"/>
      <c r="H8" s="34"/>
    </row>
    <row r="9" spans="1:8" ht="12.75">
      <c r="A9" s="4" t="s">
        <v>16</v>
      </c>
      <c r="B9" s="11" t="s">
        <v>9</v>
      </c>
      <c r="C9" s="11" t="s">
        <v>13</v>
      </c>
      <c r="D9" s="11" t="s">
        <v>17</v>
      </c>
      <c r="E9" s="11" t="s">
        <v>11</v>
      </c>
      <c r="F9" s="19">
        <f>F10</f>
        <v>1209024.05</v>
      </c>
      <c r="G9" s="41"/>
      <c r="H9" s="31"/>
    </row>
    <row r="10" spans="1:8" ht="14.25" customHeight="1">
      <c r="A10" s="4" t="s">
        <v>18</v>
      </c>
      <c r="B10" s="11" t="s">
        <v>9</v>
      </c>
      <c r="C10" s="11" t="s">
        <v>13</v>
      </c>
      <c r="D10" s="11" t="s">
        <v>17</v>
      </c>
      <c r="E10" s="11" t="s">
        <v>154</v>
      </c>
      <c r="F10" s="19">
        <v>1209024.05</v>
      </c>
      <c r="G10" s="41"/>
      <c r="H10" s="31"/>
    </row>
    <row r="11" spans="1:8" ht="21.75" customHeight="1">
      <c r="A11" s="6" t="s">
        <v>247</v>
      </c>
      <c r="B11" s="10" t="s">
        <v>9</v>
      </c>
      <c r="C11" s="10" t="s">
        <v>19</v>
      </c>
      <c r="D11" s="10" t="s">
        <v>8</v>
      </c>
      <c r="E11" s="10" t="s">
        <v>11</v>
      </c>
      <c r="F11" s="21">
        <f>F12+F14</f>
        <v>3117266.9299999997</v>
      </c>
      <c r="G11" s="40"/>
      <c r="H11" s="34"/>
    </row>
    <row r="12" spans="1:8" ht="12.75">
      <c r="A12" s="4" t="s">
        <v>20</v>
      </c>
      <c r="B12" s="11" t="s">
        <v>9</v>
      </c>
      <c r="C12" s="11" t="s">
        <v>19</v>
      </c>
      <c r="D12" s="11" t="s">
        <v>21</v>
      </c>
      <c r="E12" s="11" t="s">
        <v>11</v>
      </c>
      <c r="F12" s="19">
        <f>F13</f>
        <v>2231481.23</v>
      </c>
      <c r="G12" s="41"/>
      <c r="H12" s="31"/>
    </row>
    <row r="13" spans="1:8" ht="15" customHeight="1">
      <c r="A13" s="4" t="s">
        <v>18</v>
      </c>
      <c r="B13" s="11" t="s">
        <v>22</v>
      </c>
      <c r="C13" s="11" t="s">
        <v>19</v>
      </c>
      <c r="D13" s="11" t="s">
        <v>21</v>
      </c>
      <c r="E13" s="11" t="s">
        <v>154</v>
      </c>
      <c r="F13" s="19">
        <v>2231481.23</v>
      </c>
      <c r="G13" s="41"/>
      <c r="H13" s="31"/>
    </row>
    <row r="14" spans="1:8" ht="22.5">
      <c r="A14" s="4" t="s">
        <v>191</v>
      </c>
      <c r="B14" s="11" t="s">
        <v>9</v>
      </c>
      <c r="C14" s="11" t="s">
        <v>19</v>
      </c>
      <c r="D14" s="11" t="s">
        <v>155</v>
      </c>
      <c r="E14" s="11" t="s">
        <v>11</v>
      </c>
      <c r="F14" s="19">
        <f>F15</f>
        <v>885785.7</v>
      </c>
      <c r="G14" s="41"/>
      <c r="H14" s="31"/>
    </row>
    <row r="15" spans="1:8" ht="13.5" customHeight="1">
      <c r="A15" s="4" t="s">
        <v>18</v>
      </c>
      <c r="B15" s="11" t="s">
        <v>9</v>
      </c>
      <c r="C15" s="11" t="s">
        <v>19</v>
      </c>
      <c r="D15" s="11" t="s">
        <v>155</v>
      </c>
      <c r="E15" s="11" t="s">
        <v>154</v>
      </c>
      <c r="F15" s="19">
        <v>885785.7</v>
      </c>
      <c r="G15" s="41"/>
      <c r="H15" s="31"/>
    </row>
    <row r="16" spans="1:8" ht="45" customHeight="1">
      <c r="A16" s="6" t="s">
        <v>24</v>
      </c>
      <c r="B16" s="10" t="s">
        <v>22</v>
      </c>
      <c r="C16" s="10" t="s">
        <v>25</v>
      </c>
      <c r="D16" s="10" t="s">
        <v>8</v>
      </c>
      <c r="E16" s="10" t="s">
        <v>11</v>
      </c>
      <c r="F16" s="21">
        <f>F17+F19+F23+F25+F21</f>
        <v>32935653.8</v>
      </c>
      <c r="G16" s="40"/>
      <c r="H16" s="34"/>
    </row>
    <row r="17" spans="1:8" ht="12.75">
      <c r="A17" s="4" t="s">
        <v>20</v>
      </c>
      <c r="B17" s="11" t="s">
        <v>9</v>
      </c>
      <c r="C17" s="11" t="s">
        <v>25</v>
      </c>
      <c r="D17" s="11" t="s">
        <v>21</v>
      </c>
      <c r="E17" s="11" t="s">
        <v>11</v>
      </c>
      <c r="F17" s="19">
        <f>F18</f>
        <v>32012663.29</v>
      </c>
      <c r="G17" s="41"/>
      <c r="H17" s="31"/>
    </row>
    <row r="18" spans="1:8" s="14" customFormat="1" ht="18.75" customHeight="1">
      <c r="A18" s="28" t="s">
        <v>18</v>
      </c>
      <c r="B18" s="51" t="s">
        <v>9</v>
      </c>
      <c r="C18" s="51" t="s">
        <v>25</v>
      </c>
      <c r="D18" s="51" t="s">
        <v>21</v>
      </c>
      <c r="E18" s="51" t="s">
        <v>154</v>
      </c>
      <c r="F18" s="19">
        <v>32012663.29</v>
      </c>
      <c r="G18" s="41"/>
      <c r="H18" s="31"/>
    </row>
    <row r="19" spans="1:8" s="14" customFormat="1" ht="20.25" customHeight="1">
      <c r="A19" s="28" t="s">
        <v>193</v>
      </c>
      <c r="B19" s="51" t="s">
        <v>9</v>
      </c>
      <c r="C19" s="51" t="s">
        <v>25</v>
      </c>
      <c r="D19" s="51" t="s">
        <v>333</v>
      </c>
      <c r="E19" s="51" t="s">
        <v>11</v>
      </c>
      <c r="F19" s="19">
        <f>F20</f>
        <v>228300</v>
      </c>
      <c r="G19" s="41"/>
      <c r="H19" s="31"/>
    </row>
    <row r="20" spans="1:8" s="14" customFormat="1" ht="18.75" customHeight="1">
      <c r="A20" s="28" t="s">
        <v>18</v>
      </c>
      <c r="B20" s="51" t="s">
        <v>9</v>
      </c>
      <c r="C20" s="51" t="s">
        <v>25</v>
      </c>
      <c r="D20" s="51" t="s">
        <v>333</v>
      </c>
      <c r="E20" s="51" t="s">
        <v>154</v>
      </c>
      <c r="F20" s="19">
        <v>228300</v>
      </c>
      <c r="G20" s="41"/>
      <c r="H20" s="31"/>
    </row>
    <row r="21" spans="1:8" s="14" customFormat="1" ht="47.25" customHeight="1">
      <c r="A21" s="28" t="s">
        <v>391</v>
      </c>
      <c r="B21" s="51" t="s">
        <v>9</v>
      </c>
      <c r="C21" s="51" t="s">
        <v>25</v>
      </c>
      <c r="D21" s="51" t="s">
        <v>448</v>
      </c>
      <c r="E21" s="51" t="s">
        <v>11</v>
      </c>
      <c r="F21" s="19">
        <f>F22</f>
        <v>408590.51</v>
      </c>
      <c r="G21" s="41"/>
      <c r="H21" s="31"/>
    </row>
    <row r="22" spans="1:8" s="14" customFormat="1" ht="18.75" customHeight="1">
      <c r="A22" s="28" t="s">
        <v>18</v>
      </c>
      <c r="B22" s="51" t="s">
        <v>9</v>
      </c>
      <c r="C22" s="51" t="s">
        <v>25</v>
      </c>
      <c r="D22" s="51" t="s">
        <v>448</v>
      </c>
      <c r="E22" s="51" t="s">
        <v>154</v>
      </c>
      <c r="F22" s="19">
        <v>408590.51</v>
      </c>
      <c r="G22" s="41"/>
      <c r="H22" s="31"/>
    </row>
    <row r="23" spans="1:8" s="14" customFormat="1" ht="23.25" customHeight="1">
      <c r="A23" s="28" t="s">
        <v>195</v>
      </c>
      <c r="B23" s="51" t="s">
        <v>9</v>
      </c>
      <c r="C23" s="51" t="s">
        <v>25</v>
      </c>
      <c r="D23" s="51" t="s">
        <v>334</v>
      </c>
      <c r="E23" s="51" t="s">
        <v>11</v>
      </c>
      <c r="F23" s="19">
        <f>F24</f>
        <v>241700</v>
      </c>
      <c r="G23" s="41"/>
      <c r="H23" s="31"/>
    </row>
    <row r="24" spans="1:8" s="14" customFormat="1" ht="19.5" customHeight="1">
      <c r="A24" s="28" t="s">
        <v>18</v>
      </c>
      <c r="B24" s="51" t="s">
        <v>9</v>
      </c>
      <c r="C24" s="51" t="s">
        <v>25</v>
      </c>
      <c r="D24" s="51" t="s">
        <v>334</v>
      </c>
      <c r="E24" s="51" t="s">
        <v>154</v>
      </c>
      <c r="F24" s="19">
        <v>241700</v>
      </c>
      <c r="G24" s="41"/>
      <c r="H24" s="31"/>
    </row>
    <row r="25" spans="1:8" s="14" customFormat="1" ht="31.5" customHeight="1">
      <c r="A25" s="28" t="s">
        <v>381</v>
      </c>
      <c r="B25" s="51" t="s">
        <v>9</v>
      </c>
      <c r="C25" s="51" t="s">
        <v>25</v>
      </c>
      <c r="D25" s="51" t="s">
        <v>335</v>
      </c>
      <c r="E25" s="51" t="s">
        <v>11</v>
      </c>
      <c r="F25" s="19">
        <f>F26</f>
        <v>44400</v>
      </c>
      <c r="G25" s="41"/>
      <c r="H25" s="31"/>
    </row>
    <row r="26" spans="1:8" s="14" customFormat="1" ht="18" customHeight="1">
      <c r="A26" s="28" t="s">
        <v>18</v>
      </c>
      <c r="B26" s="51" t="s">
        <v>9</v>
      </c>
      <c r="C26" s="51" t="s">
        <v>25</v>
      </c>
      <c r="D26" s="51" t="s">
        <v>335</v>
      </c>
      <c r="E26" s="51" t="s">
        <v>154</v>
      </c>
      <c r="F26" s="19">
        <v>44400</v>
      </c>
      <c r="G26" s="41"/>
      <c r="H26" s="31"/>
    </row>
    <row r="27" spans="1:8" ht="36.75" customHeight="1">
      <c r="A27" s="6" t="s">
        <v>30</v>
      </c>
      <c r="B27" s="10" t="s">
        <v>9</v>
      </c>
      <c r="C27" s="10" t="s">
        <v>31</v>
      </c>
      <c r="D27" s="10" t="s">
        <v>8</v>
      </c>
      <c r="E27" s="10" t="s">
        <v>11</v>
      </c>
      <c r="F27" s="21">
        <f>F28+F30+F32</f>
        <v>10315291.18</v>
      </c>
      <c r="G27" s="40"/>
      <c r="H27" s="34"/>
    </row>
    <row r="28" spans="1:8" s="14" customFormat="1" ht="12.75">
      <c r="A28" s="28" t="s">
        <v>20</v>
      </c>
      <c r="B28" s="51" t="s">
        <v>9</v>
      </c>
      <c r="C28" s="51" t="s">
        <v>31</v>
      </c>
      <c r="D28" s="51" t="s">
        <v>21</v>
      </c>
      <c r="E28" s="51" t="s">
        <v>11</v>
      </c>
      <c r="F28" s="19">
        <f>F29</f>
        <v>186135.03</v>
      </c>
      <c r="G28" s="41"/>
      <c r="H28" s="31"/>
    </row>
    <row r="29" spans="1:8" s="14" customFormat="1" ht="19.5" customHeight="1">
      <c r="A29" s="28" t="s">
        <v>18</v>
      </c>
      <c r="B29" s="51" t="s">
        <v>9</v>
      </c>
      <c r="C29" s="51" t="s">
        <v>31</v>
      </c>
      <c r="D29" s="51" t="s">
        <v>21</v>
      </c>
      <c r="E29" s="51" t="s">
        <v>154</v>
      </c>
      <c r="F29" s="19">
        <v>186135.03</v>
      </c>
      <c r="G29" s="41"/>
      <c r="H29" s="31"/>
    </row>
    <row r="30" spans="1:8" s="14" customFormat="1" ht="19.5" customHeight="1">
      <c r="A30" s="28" t="s">
        <v>382</v>
      </c>
      <c r="B30" s="51" t="s">
        <v>9</v>
      </c>
      <c r="C30" s="51" t="s">
        <v>31</v>
      </c>
      <c r="D30" s="51" t="s">
        <v>336</v>
      </c>
      <c r="E30" s="51" t="s">
        <v>11</v>
      </c>
      <c r="F30" s="19">
        <f>F31</f>
        <v>9990346.51</v>
      </c>
      <c r="G30" s="41"/>
      <c r="H30" s="31"/>
    </row>
    <row r="31" spans="1:8" s="14" customFormat="1" ht="18.75" customHeight="1">
      <c r="A31" s="28" t="s">
        <v>18</v>
      </c>
      <c r="B31" s="51" t="s">
        <v>9</v>
      </c>
      <c r="C31" s="51" t="s">
        <v>31</v>
      </c>
      <c r="D31" s="51" t="s">
        <v>336</v>
      </c>
      <c r="E31" s="51" t="s">
        <v>154</v>
      </c>
      <c r="F31" s="19">
        <v>9990346.51</v>
      </c>
      <c r="G31" s="41"/>
      <c r="H31" s="31"/>
    </row>
    <row r="32" spans="1:8" s="14" customFormat="1" ht="18" customHeight="1">
      <c r="A32" s="28" t="s">
        <v>453</v>
      </c>
      <c r="B32" s="51" t="s">
        <v>9</v>
      </c>
      <c r="C32" s="51" t="s">
        <v>31</v>
      </c>
      <c r="D32" s="51" t="s">
        <v>450</v>
      </c>
      <c r="E32" s="51" t="s">
        <v>11</v>
      </c>
      <c r="F32" s="19">
        <f>F33</f>
        <v>138809.64</v>
      </c>
      <c r="G32" s="41"/>
      <c r="H32" s="31"/>
    </row>
    <row r="33" spans="1:8" s="14" customFormat="1" ht="17.25" customHeight="1">
      <c r="A33" s="28" t="s">
        <v>18</v>
      </c>
      <c r="B33" s="51" t="s">
        <v>9</v>
      </c>
      <c r="C33" s="51" t="s">
        <v>31</v>
      </c>
      <c r="D33" s="51" t="s">
        <v>450</v>
      </c>
      <c r="E33" s="51" t="s">
        <v>154</v>
      </c>
      <c r="F33" s="19">
        <v>138809.64</v>
      </c>
      <c r="G33" s="41"/>
      <c r="H33" s="31"/>
    </row>
    <row r="34" spans="1:8" ht="18.75" customHeight="1">
      <c r="A34" s="6" t="s">
        <v>34</v>
      </c>
      <c r="B34" s="10" t="s">
        <v>9</v>
      </c>
      <c r="C34" s="10" t="s">
        <v>35</v>
      </c>
      <c r="D34" s="10" t="s">
        <v>8</v>
      </c>
      <c r="E34" s="10" t="s">
        <v>11</v>
      </c>
      <c r="F34" s="21">
        <f>F35</f>
        <v>1538495.71</v>
      </c>
      <c r="G34" s="40"/>
      <c r="H34" s="34"/>
    </row>
    <row r="35" spans="1:8" ht="18" customHeight="1">
      <c r="A35" s="4" t="s">
        <v>36</v>
      </c>
      <c r="B35" s="11" t="s">
        <v>9</v>
      </c>
      <c r="C35" s="11" t="s">
        <v>35</v>
      </c>
      <c r="D35" s="11" t="s">
        <v>37</v>
      </c>
      <c r="E35" s="11" t="s">
        <v>11</v>
      </c>
      <c r="F35" s="19">
        <f>F36</f>
        <v>1538495.71</v>
      </c>
      <c r="G35" s="41"/>
      <c r="H35" s="31"/>
    </row>
    <row r="36" spans="1:8" ht="18.75" customHeight="1">
      <c r="A36" s="4" t="s">
        <v>18</v>
      </c>
      <c r="B36" s="11" t="s">
        <v>9</v>
      </c>
      <c r="C36" s="11" t="s">
        <v>35</v>
      </c>
      <c r="D36" s="11" t="s">
        <v>37</v>
      </c>
      <c r="E36" s="11" t="s">
        <v>154</v>
      </c>
      <c r="F36" s="19">
        <v>1538495.71</v>
      </c>
      <c r="G36" s="41"/>
      <c r="H36" s="31"/>
    </row>
    <row r="37" spans="1:8" ht="25.5" customHeight="1">
      <c r="A37" s="7" t="s">
        <v>40</v>
      </c>
      <c r="B37" s="9" t="s">
        <v>19</v>
      </c>
      <c r="C37" s="9" t="s">
        <v>10</v>
      </c>
      <c r="D37" s="9" t="s">
        <v>33</v>
      </c>
      <c r="E37" s="9" t="s">
        <v>11</v>
      </c>
      <c r="F37" s="24">
        <f>F38+F53</f>
        <v>72930979.42999999</v>
      </c>
      <c r="G37" s="38"/>
      <c r="H37" s="39"/>
    </row>
    <row r="38" spans="1:8" ht="14.25" customHeight="1">
      <c r="A38" s="6" t="s">
        <v>41</v>
      </c>
      <c r="B38" s="10" t="s">
        <v>19</v>
      </c>
      <c r="C38" s="10" t="s">
        <v>13</v>
      </c>
      <c r="D38" s="10" t="s">
        <v>8</v>
      </c>
      <c r="E38" s="10" t="s">
        <v>11</v>
      </c>
      <c r="F38" s="21">
        <f>F39+F41+F43+F45+F47+F49+F51</f>
        <v>14252679.55</v>
      </c>
      <c r="G38" s="40"/>
      <c r="H38" s="34"/>
    </row>
    <row r="39" spans="1:8" ht="42" customHeight="1">
      <c r="A39" s="4" t="s">
        <v>42</v>
      </c>
      <c r="B39" s="11" t="s">
        <v>19</v>
      </c>
      <c r="C39" s="11" t="s">
        <v>13</v>
      </c>
      <c r="D39" s="11" t="s">
        <v>43</v>
      </c>
      <c r="E39" s="11" t="s">
        <v>11</v>
      </c>
      <c r="F39" s="19">
        <f>F40</f>
        <v>3739000</v>
      </c>
      <c r="G39" s="41"/>
      <c r="H39" s="31"/>
    </row>
    <row r="40" spans="1:8" ht="25.5" customHeight="1">
      <c r="A40" s="4" t="s">
        <v>44</v>
      </c>
      <c r="B40" s="11" t="s">
        <v>19</v>
      </c>
      <c r="C40" s="11" t="s">
        <v>13</v>
      </c>
      <c r="D40" s="11" t="s">
        <v>43</v>
      </c>
      <c r="E40" s="11" t="s">
        <v>45</v>
      </c>
      <c r="F40" s="19">
        <v>3739000</v>
      </c>
      <c r="G40" s="41"/>
      <c r="H40" s="31"/>
    </row>
    <row r="41" spans="1:8" ht="12.75">
      <c r="A41" s="4" t="s">
        <v>46</v>
      </c>
      <c r="B41" s="11" t="s">
        <v>19</v>
      </c>
      <c r="C41" s="11" t="s">
        <v>13</v>
      </c>
      <c r="D41" s="11" t="s">
        <v>47</v>
      </c>
      <c r="E41" s="11" t="s">
        <v>11</v>
      </c>
      <c r="F41" s="19">
        <f>F42</f>
        <v>7182750</v>
      </c>
      <c r="G41" s="41"/>
      <c r="H41" s="31"/>
    </row>
    <row r="42" spans="1:8" ht="20.25" customHeight="1">
      <c r="A42" s="4" t="s">
        <v>44</v>
      </c>
      <c r="B42" s="11" t="s">
        <v>19</v>
      </c>
      <c r="C42" s="11" t="s">
        <v>13</v>
      </c>
      <c r="D42" s="11" t="s">
        <v>47</v>
      </c>
      <c r="E42" s="11" t="s">
        <v>45</v>
      </c>
      <c r="F42" s="19">
        <v>7182750</v>
      </c>
      <c r="G42" s="41"/>
      <c r="H42" s="31"/>
    </row>
    <row r="43" spans="1:8" ht="24" customHeight="1">
      <c r="A43" s="4" t="s">
        <v>159</v>
      </c>
      <c r="B43" s="11" t="s">
        <v>19</v>
      </c>
      <c r="C43" s="11" t="s">
        <v>13</v>
      </c>
      <c r="D43" s="11" t="s">
        <v>156</v>
      </c>
      <c r="E43" s="11" t="s">
        <v>11</v>
      </c>
      <c r="F43" s="19">
        <f>F44</f>
        <v>2385155.98</v>
      </c>
      <c r="G43" s="41"/>
      <c r="H43" s="31"/>
    </row>
    <row r="44" spans="1:8" ht="24" customHeight="1">
      <c r="A44" s="4" t="s">
        <v>44</v>
      </c>
      <c r="B44" s="11" t="s">
        <v>19</v>
      </c>
      <c r="C44" s="11" t="s">
        <v>13</v>
      </c>
      <c r="D44" s="11" t="s">
        <v>156</v>
      </c>
      <c r="E44" s="11" t="s">
        <v>45</v>
      </c>
      <c r="F44" s="19">
        <v>2385155.98</v>
      </c>
      <c r="G44" s="41"/>
      <c r="H44" s="31"/>
    </row>
    <row r="45" spans="1:8" s="14" customFormat="1" ht="27.75" customHeight="1">
      <c r="A45" s="28" t="s">
        <v>326</v>
      </c>
      <c r="B45" s="51" t="s">
        <v>19</v>
      </c>
      <c r="C45" s="51" t="s">
        <v>13</v>
      </c>
      <c r="D45" s="51" t="s">
        <v>318</v>
      </c>
      <c r="E45" s="51" t="s">
        <v>11</v>
      </c>
      <c r="F45" s="19">
        <f>F46</f>
        <v>145010.29</v>
      </c>
      <c r="G45" s="41"/>
      <c r="H45" s="31"/>
    </row>
    <row r="46" spans="1:8" s="14" customFormat="1" ht="25.5" customHeight="1">
      <c r="A46" s="28" t="s">
        <v>44</v>
      </c>
      <c r="B46" s="51" t="s">
        <v>19</v>
      </c>
      <c r="C46" s="51" t="s">
        <v>13</v>
      </c>
      <c r="D46" s="51" t="s">
        <v>318</v>
      </c>
      <c r="E46" s="51" t="s">
        <v>45</v>
      </c>
      <c r="F46" s="19">
        <v>145010.29</v>
      </c>
      <c r="G46" s="41"/>
      <c r="H46" s="31"/>
    </row>
    <row r="47" spans="1:8" s="14" customFormat="1" ht="24" customHeight="1">
      <c r="A47" s="28" t="s">
        <v>327</v>
      </c>
      <c r="B47" s="51" t="s">
        <v>19</v>
      </c>
      <c r="C47" s="51" t="s">
        <v>13</v>
      </c>
      <c r="D47" s="51" t="s">
        <v>319</v>
      </c>
      <c r="E47" s="51" t="s">
        <v>11</v>
      </c>
      <c r="F47" s="19">
        <f>F48</f>
        <v>248507.63</v>
      </c>
      <c r="G47" s="41"/>
      <c r="H47" s="31"/>
    </row>
    <row r="48" spans="1:8" ht="30" customHeight="1">
      <c r="A48" s="4" t="s">
        <v>44</v>
      </c>
      <c r="B48" s="11" t="s">
        <v>19</v>
      </c>
      <c r="C48" s="11" t="s">
        <v>13</v>
      </c>
      <c r="D48" s="11" t="s">
        <v>319</v>
      </c>
      <c r="E48" s="11" t="s">
        <v>45</v>
      </c>
      <c r="F48" s="19">
        <v>248507.63</v>
      </c>
      <c r="G48" s="41"/>
      <c r="H48" s="31"/>
    </row>
    <row r="49" spans="1:8" ht="28.5" customHeight="1">
      <c r="A49" s="4" t="s">
        <v>158</v>
      </c>
      <c r="B49" s="11" t="s">
        <v>19</v>
      </c>
      <c r="C49" s="11" t="s">
        <v>13</v>
      </c>
      <c r="D49" s="11" t="s">
        <v>157</v>
      </c>
      <c r="E49" s="11" t="s">
        <v>11</v>
      </c>
      <c r="F49" s="19">
        <f>F50</f>
        <v>493414.65</v>
      </c>
      <c r="G49" s="41"/>
      <c r="H49" s="31"/>
    </row>
    <row r="50" spans="1:8" ht="12.75">
      <c r="A50" s="4" t="s">
        <v>48</v>
      </c>
      <c r="B50" s="11" t="s">
        <v>19</v>
      </c>
      <c r="C50" s="11" t="s">
        <v>13</v>
      </c>
      <c r="D50" s="11" t="s">
        <v>157</v>
      </c>
      <c r="E50" s="11" t="s">
        <v>49</v>
      </c>
      <c r="F50" s="19">
        <v>493414.65</v>
      </c>
      <c r="G50" s="41"/>
      <c r="H50" s="31"/>
    </row>
    <row r="51" spans="1:8" s="14" customFormat="1" ht="18" customHeight="1">
      <c r="A51" s="4" t="s">
        <v>58</v>
      </c>
      <c r="B51" s="51" t="s">
        <v>19</v>
      </c>
      <c r="C51" s="51" t="s">
        <v>13</v>
      </c>
      <c r="D51" s="51" t="s">
        <v>51</v>
      </c>
      <c r="E51" s="51" t="s">
        <v>11</v>
      </c>
      <c r="F51" s="19">
        <f>F52</f>
        <v>58841</v>
      </c>
      <c r="G51" s="41"/>
      <c r="H51" s="31"/>
    </row>
    <row r="52" spans="1:8" s="14" customFormat="1" ht="18.75" customHeight="1">
      <c r="A52" s="28" t="s">
        <v>18</v>
      </c>
      <c r="B52" s="51" t="s">
        <v>19</v>
      </c>
      <c r="C52" s="51" t="s">
        <v>13</v>
      </c>
      <c r="D52" s="51" t="s">
        <v>51</v>
      </c>
      <c r="E52" s="51" t="s">
        <v>154</v>
      </c>
      <c r="F52" s="19">
        <v>58841</v>
      </c>
      <c r="G52" s="41"/>
      <c r="H52" s="31"/>
    </row>
    <row r="53" spans="1:8" ht="36.75" customHeight="1">
      <c r="A53" s="6" t="s">
        <v>127</v>
      </c>
      <c r="B53" s="10" t="s">
        <v>19</v>
      </c>
      <c r="C53" s="10" t="s">
        <v>72</v>
      </c>
      <c r="D53" s="10" t="s">
        <v>8</v>
      </c>
      <c r="E53" s="10" t="s">
        <v>11</v>
      </c>
      <c r="F53" s="21">
        <f>F56+F54</f>
        <v>58678299.879999995</v>
      </c>
      <c r="G53" s="40"/>
      <c r="H53" s="34"/>
    </row>
    <row r="54" spans="1:8" s="75" customFormat="1" ht="25.5" customHeight="1">
      <c r="A54" s="28" t="s">
        <v>433</v>
      </c>
      <c r="B54" s="71" t="s">
        <v>19</v>
      </c>
      <c r="C54" s="71" t="s">
        <v>72</v>
      </c>
      <c r="D54" s="51" t="s">
        <v>424</v>
      </c>
      <c r="E54" s="51" t="s">
        <v>11</v>
      </c>
      <c r="F54" s="72">
        <f>F55</f>
        <v>42043085.62</v>
      </c>
      <c r="G54" s="73"/>
      <c r="H54" s="74"/>
    </row>
    <row r="55" spans="1:8" s="75" customFormat="1" ht="18.75" customHeight="1">
      <c r="A55" s="28" t="s">
        <v>18</v>
      </c>
      <c r="B55" s="51" t="s">
        <v>19</v>
      </c>
      <c r="C55" s="51" t="s">
        <v>72</v>
      </c>
      <c r="D55" s="51" t="s">
        <v>424</v>
      </c>
      <c r="E55" s="51" t="s">
        <v>154</v>
      </c>
      <c r="F55" s="72">
        <v>42043085.62</v>
      </c>
      <c r="G55" s="73"/>
      <c r="H55" s="74"/>
    </row>
    <row r="56" spans="1:8" ht="35.25" customHeight="1">
      <c r="A56" s="4" t="s">
        <v>128</v>
      </c>
      <c r="B56" s="11" t="s">
        <v>19</v>
      </c>
      <c r="C56" s="11" t="s">
        <v>72</v>
      </c>
      <c r="D56" s="11" t="s">
        <v>320</v>
      </c>
      <c r="E56" s="11" t="s">
        <v>11</v>
      </c>
      <c r="F56" s="19">
        <f>F57</f>
        <v>16635214.26</v>
      </c>
      <c r="G56" s="41"/>
      <c r="H56" s="31"/>
    </row>
    <row r="57" spans="1:8" ht="12.75">
      <c r="A57" s="4" t="s">
        <v>18</v>
      </c>
      <c r="B57" s="11" t="s">
        <v>19</v>
      </c>
      <c r="C57" s="11" t="s">
        <v>72</v>
      </c>
      <c r="D57" s="11" t="s">
        <v>320</v>
      </c>
      <c r="E57" s="11" t="s">
        <v>154</v>
      </c>
      <c r="F57" s="19">
        <v>16635214.26</v>
      </c>
      <c r="G57" s="41"/>
      <c r="H57" s="31"/>
    </row>
    <row r="58" spans="1:8" ht="12.75">
      <c r="A58" s="7" t="s">
        <v>52</v>
      </c>
      <c r="B58" s="9" t="s">
        <v>25</v>
      </c>
      <c r="C58" s="9" t="s">
        <v>10</v>
      </c>
      <c r="D58" s="9" t="s">
        <v>8</v>
      </c>
      <c r="E58" s="9" t="s">
        <v>11</v>
      </c>
      <c r="F58" s="24">
        <f>F59+F64+F69</f>
        <v>6440249.53</v>
      </c>
      <c r="G58" s="38"/>
      <c r="H58" s="39"/>
    </row>
    <row r="59" spans="1:8" ht="12.75">
      <c r="A59" s="6" t="s">
        <v>53</v>
      </c>
      <c r="B59" s="10" t="s">
        <v>25</v>
      </c>
      <c r="C59" s="10" t="s">
        <v>27</v>
      </c>
      <c r="D59" s="10" t="s">
        <v>8</v>
      </c>
      <c r="E59" s="10" t="s">
        <v>11</v>
      </c>
      <c r="F59" s="21">
        <f>F62+F61</f>
        <v>4290900.98</v>
      </c>
      <c r="G59" s="40"/>
      <c r="H59" s="34"/>
    </row>
    <row r="60" spans="1:8" s="14" customFormat="1" ht="30" customHeight="1">
      <c r="A60" s="28" t="s">
        <v>421</v>
      </c>
      <c r="B60" s="57" t="s">
        <v>25</v>
      </c>
      <c r="C60" s="57" t="s">
        <v>27</v>
      </c>
      <c r="D60" s="51" t="s">
        <v>337</v>
      </c>
      <c r="E60" s="57" t="s">
        <v>11</v>
      </c>
      <c r="F60" s="27">
        <f>F61</f>
        <v>1538730.98</v>
      </c>
      <c r="G60" s="40"/>
      <c r="H60" s="34"/>
    </row>
    <row r="61" spans="1:8" s="14" customFormat="1" ht="18.75" customHeight="1">
      <c r="A61" s="28" t="s">
        <v>18</v>
      </c>
      <c r="B61" s="15" t="s">
        <v>25</v>
      </c>
      <c r="C61" s="15" t="s">
        <v>27</v>
      </c>
      <c r="D61" s="51" t="s">
        <v>337</v>
      </c>
      <c r="E61" s="51" t="s">
        <v>154</v>
      </c>
      <c r="F61" s="27">
        <v>1538730.98</v>
      </c>
      <c r="G61" s="40"/>
      <c r="H61" s="34"/>
    </row>
    <row r="62" spans="1:8" s="14" customFormat="1" ht="34.5" customHeight="1">
      <c r="A62" s="28" t="s">
        <v>160</v>
      </c>
      <c r="B62" s="51" t="s">
        <v>25</v>
      </c>
      <c r="C62" s="51" t="s">
        <v>27</v>
      </c>
      <c r="D62" s="51" t="s">
        <v>338</v>
      </c>
      <c r="E62" s="51" t="s">
        <v>11</v>
      </c>
      <c r="F62" s="19">
        <f>F63</f>
        <v>2752170</v>
      </c>
      <c r="G62" s="41"/>
      <c r="H62" s="31"/>
    </row>
    <row r="63" spans="1:8" s="14" customFormat="1" ht="18.75" customHeight="1">
      <c r="A63" s="28" t="s">
        <v>18</v>
      </c>
      <c r="B63" s="51" t="s">
        <v>25</v>
      </c>
      <c r="C63" s="51" t="s">
        <v>27</v>
      </c>
      <c r="D63" s="51" t="s">
        <v>338</v>
      </c>
      <c r="E63" s="51" t="s">
        <v>154</v>
      </c>
      <c r="F63" s="19">
        <v>2752170</v>
      </c>
      <c r="G63" s="41"/>
      <c r="H63" s="31"/>
    </row>
    <row r="64" spans="1:8" ht="12.75">
      <c r="A64" s="6" t="s">
        <v>214</v>
      </c>
      <c r="B64" s="10" t="s">
        <v>25</v>
      </c>
      <c r="C64" s="10" t="s">
        <v>72</v>
      </c>
      <c r="D64" s="10" t="s">
        <v>8</v>
      </c>
      <c r="E64" s="10" t="s">
        <v>213</v>
      </c>
      <c r="F64" s="21">
        <f>F67+F65</f>
        <v>1772610.24</v>
      </c>
      <c r="G64" s="40"/>
      <c r="H64" s="34"/>
    </row>
    <row r="65" spans="1:8" ht="21.75" customHeight="1">
      <c r="A65" s="4" t="s">
        <v>228</v>
      </c>
      <c r="B65" s="13" t="s">
        <v>25</v>
      </c>
      <c r="C65" s="13" t="s">
        <v>72</v>
      </c>
      <c r="D65" s="13" t="s">
        <v>248</v>
      </c>
      <c r="E65" s="13" t="s">
        <v>11</v>
      </c>
      <c r="F65" s="27">
        <f>F66</f>
        <v>1570000</v>
      </c>
      <c r="G65" s="40"/>
      <c r="H65" s="34"/>
    </row>
    <row r="66" spans="1:8" ht="12.75">
      <c r="A66" s="4" t="s">
        <v>219</v>
      </c>
      <c r="B66" s="13" t="s">
        <v>25</v>
      </c>
      <c r="C66" s="13" t="s">
        <v>72</v>
      </c>
      <c r="D66" s="13" t="s">
        <v>248</v>
      </c>
      <c r="E66" s="13" t="s">
        <v>203</v>
      </c>
      <c r="F66" s="27">
        <v>1570000</v>
      </c>
      <c r="G66" s="40"/>
      <c r="H66" s="34"/>
    </row>
    <row r="67" spans="1:8" ht="18.75" customHeight="1">
      <c r="A67" s="4" t="s">
        <v>293</v>
      </c>
      <c r="B67" s="11" t="s">
        <v>25</v>
      </c>
      <c r="C67" s="11" t="s">
        <v>72</v>
      </c>
      <c r="D67" s="11" t="s">
        <v>266</v>
      </c>
      <c r="E67" s="11" t="s">
        <v>11</v>
      </c>
      <c r="F67" s="19">
        <f>F68</f>
        <v>202610.24</v>
      </c>
      <c r="G67" s="41"/>
      <c r="H67" s="60"/>
    </row>
    <row r="68" spans="1:8" ht="40.5" customHeight="1">
      <c r="A68" s="4" t="s">
        <v>268</v>
      </c>
      <c r="B68" s="11" t="s">
        <v>25</v>
      </c>
      <c r="C68" s="11" t="s">
        <v>72</v>
      </c>
      <c r="D68" s="11" t="s">
        <v>266</v>
      </c>
      <c r="E68" s="11" t="s">
        <v>267</v>
      </c>
      <c r="F68" s="19">
        <v>202610.24</v>
      </c>
      <c r="G68" s="41"/>
      <c r="H68" s="31"/>
    </row>
    <row r="69" spans="1:8" ht="18.75" customHeight="1">
      <c r="A69" s="6" t="s">
        <v>142</v>
      </c>
      <c r="B69" s="10" t="s">
        <v>25</v>
      </c>
      <c r="C69" s="10" t="s">
        <v>32</v>
      </c>
      <c r="D69" s="10" t="s">
        <v>33</v>
      </c>
      <c r="E69" s="10" t="s">
        <v>11</v>
      </c>
      <c r="F69" s="21">
        <f>F70</f>
        <v>376738.31</v>
      </c>
      <c r="G69" s="40"/>
      <c r="H69" s="34"/>
    </row>
    <row r="70" spans="1:8" ht="19.5" customHeight="1">
      <c r="A70" s="4" t="s">
        <v>143</v>
      </c>
      <c r="B70" s="11" t="s">
        <v>25</v>
      </c>
      <c r="C70" s="11" t="s">
        <v>32</v>
      </c>
      <c r="D70" s="11" t="s">
        <v>269</v>
      </c>
      <c r="E70" s="11" t="s">
        <v>11</v>
      </c>
      <c r="F70" s="19">
        <f>F71</f>
        <v>376738.31</v>
      </c>
      <c r="G70" s="41"/>
      <c r="H70" s="31"/>
    </row>
    <row r="71" spans="1:8" ht="18.75" customHeight="1">
      <c r="A71" s="4" t="s">
        <v>18</v>
      </c>
      <c r="B71" s="11" t="s">
        <v>25</v>
      </c>
      <c r="C71" s="11" t="s">
        <v>32</v>
      </c>
      <c r="D71" s="11" t="s">
        <v>269</v>
      </c>
      <c r="E71" s="11" t="s">
        <v>154</v>
      </c>
      <c r="F71" s="19">
        <v>376738.31</v>
      </c>
      <c r="G71" s="41"/>
      <c r="H71" s="31"/>
    </row>
    <row r="72" spans="1:8" s="16" customFormat="1" ht="13.5" customHeight="1">
      <c r="A72" s="7" t="s">
        <v>215</v>
      </c>
      <c r="B72" s="9" t="s">
        <v>27</v>
      </c>
      <c r="C72" s="9" t="s">
        <v>10</v>
      </c>
      <c r="D72" s="9" t="s">
        <v>33</v>
      </c>
      <c r="E72" s="9" t="s">
        <v>11</v>
      </c>
      <c r="F72" s="24">
        <f>F73+F84+F89+F96</f>
        <v>136021159.49</v>
      </c>
      <c r="G72" s="38"/>
      <c r="H72" s="39"/>
    </row>
    <row r="73" spans="1:8" ht="12.75">
      <c r="A73" s="6" t="s">
        <v>216</v>
      </c>
      <c r="B73" s="10" t="s">
        <v>27</v>
      </c>
      <c r="C73" s="10" t="s">
        <v>9</v>
      </c>
      <c r="D73" s="10" t="s">
        <v>8</v>
      </c>
      <c r="E73" s="10" t="s">
        <v>11</v>
      </c>
      <c r="F73" s="21">
        <f>F74+F76+F78+F80+F82</f>
        <v>58825717.84</v>
      </c>
      <c r="G73" s="40"/>
      <c r="H73" s="34"/>
    </row>
    <row r="74" spans="1:8" ht="44.25" customHeight="1">
      <c r="A74" s="28" t="s">
        <v>383</v>
      </c>
      <c r="B74" s="15" t="s">
        <v>27</v>
      </c>
      <c r="C74" s="15" t="s">
        <v>9</v>
      </c>
      <c r="D74" s="15" t="s">
        <v>296</v>
      </c>
      <c r="E74" s="15" t="s">
        <v>11</v>
      </c>
      <c r="F74" s="27">
        <f>F75</f>
        <v>52853510.38</v>
      </c>
      <c r="G74" s="32"/>
      <c r="H74" s="33"/>
    </row>
    <row r="75" spans="1:8" ht="12.75">
      <c r="A75" s="4" t="s">
        <v>56</v>
      </c>
      <c r="B75" s="15" t="s">
        <v>27</v>
      </c>
      <c r="C75" s="15" t="s">
        <v>9</v>
      </c>
      <c r="D75" s="15" t="s">
        <v>296</v>
      </c>
      <c r="E75" s="15" t="s">
        <v>57</v>
      </c>
      <c r="F75" s="27">
        <v>52853510.38</v>
      </c>
      <c r="G75" s="32"/>
      <c r="H75" s="33"/>
    </row>
    <row r="76" spans="1:8" ht="30" customHeight="1">
      <c r="A76" s="4" t="s">
        <v>291</v>
      </c>
      <c r="B76" s="15" t="s">
        <v>27</v>
      </c>
      <c r="C76" s="15" t="s">
        <v>9</v>
      </c>
      <c r="D76" s="15" t="s">
        <v>290</v>
      </c>
      <c r="E76" s="15" t="s">
        <v>11</v>
      </c>
      <c r="F76" s="27">
        <f>F77</f>
        <v>729097.57</v>
      </c>
      <c r="G76" s="32"/>
      <c r="H76" s="33"/>
    </row>
    <row r="77" spans="1:8" ht="12.75">
      <c r="A77" s="4" t="s">
        <v>56</v>
      </c>
      <c r="B77" s="15" t="s">
        <v>27</v>
      </c>
      <c r="C77" s="15" t="s">
        <v>9</v>
      </c>
      <c r="D77" s="15" t="s">
        <v>290</v>
      </c>
      <c r="E77" s="15" t="s">
        <v>57</v>
      </c>
      <c r="F77" s="27">
        <v>729097.57</v>
      </c>
      <c r="G77" s="32"/>
      <c r="H77" s="33"/>
    </row>
    <row r="78" spans="1:8" s="14" customFormat="1" ht="28.5" customHeight="1">
      <c r="A78" s="28" t="s">
        <v>291</v>
      </c>
      <c r="B78" s="51" t="s">
        <v>27</v>
      </c>
      <c r="C78" s="51" t="s">
        <v>9</v>
      </c>
      <c r="D78" s="15" t="s">
        <v>290</v>
      </c>
      <c r="E78" s="51" t="s">
        <v>11</v>
      </c>
      <c r="F78" s="19">
        <f>F79</f>
        <v>5214000</v>
      </c>
      <c r="G78" s="41"/>
      <c r="H78" s="31"/>
    </row>
    <row r="79" spans="1:8" s="48" customFormat="1" ht="12.75">
      <c r="A79" s="28" t="s">
        <v>56</v>
      </c>
      <c r="B79" s="29" t="s">
        <v>27</v>
      </c>
      <c r="C79" s="29" t="s">
        <v>9</v>
      </c>
      <c r="D79" s="15" t="s">
        <v>290</v>
      </c>
      <c r="E79" s="51" t="s">
        <v>165</v>
      </c>
      <c r="F79" s="25">
        <v>5214000</v>
      </c>
      <c r="G79" s="46"/>
      <c r="H79" s="47"/>
    </row>
    <row r="80" spans="1:8" s="48" customFormat="1" ht="12.75">
      <c r="A80" s="28" t="s">
        <v>217</v>
      </c>
      <c r="B80" s="51" t="s">
        <v>27</v>
      </c>
      <c r="C80" s="51" t="s">
        <v>9</v>
      </c>
      <c r="D80" s="51" t="s">
        <v>313</v>
      </c>
      <c r="E80" s="51" t="s">
        <v>11</v>
      </c>
      <c r="F80" s="25">
        <f>F81</f>
        <v>29109.89</v>
      </c>
      <c r="G80" s="46"/>
      <c r="H80" s="47"/>
    </row>
    <row r="81" spans="1:8" s="48" customFormat="1" ht="10.5" customHeight="1">
      <c r="A81" s="4" t="s">
        <v>18</v>
      </c>
      <c r="B81" s="29" t="s">
        <v>27</v>
      </c>
      <c r="C81" s="29" t="s">
        <v>9</v>
      </c>
      <c r="D81" s="51" t="s">
        <v>313</v>
      </c>
      <c r="E81" s="51" t="s">
        <v>154</v>
      </c>
      <c r="F81" s="25">
        <v>29109.89</v>
      </c>
      <c r="G81" s="46"/>
      <c r="H81" s="47"/>
    </row>
    <row r="82" spans="1:8" s="48" customFormat="1" ht="0.75" customHeight="1" hidden="1">
      <c r="A82" s="28" t="s">
        <v>454</v>
      </c>
      <c r="B82" s="51" t="s">
        <v>27</v>
      </c>
      <c r="C82" s="51" t="s">
        <v>9</v>
      </c>
      <c r="D82" s="51" t="s">
        <v>451</v>
      </c>
      <c r="E82" s="51" t="s">
        <v>11</v>
      </c>
      <c r="F82" s="25">
        <f>F83</f>
        <v>0</v>
      </c>
      <c r="G82" s="46"/>
      <c r="H82" s="47"/>
    </row>
    <row r="83" spans="1:8" s="48" customFormat="1" ht="12.75" hidden="1">
      <c r="A83" s="4" t="s">
        <v>219</v>
      </c>
      <c r="B83" s="51" t="s">
        <v>27</v>
      </c>
      <c r="C83" s="51" t="s">
        <v>9</v>
      </c>
      <c r="D83" s="51" t="s">
        <v>451</v>
      </c>
      <c r="E83" s="51" t="s">
        <v>203</v>
      </c>
      <c r="F83" s="25"/>
      <c r="G83" s="46"/>
      <c r="H83" s="47"/>
    </row>
    <row r="84" spans="1:8" ht="12" customHeight="1">
      <c r="A84" s="6" t="s">
        <v>222</v>
      </c>
      <c r="B84" s="10" t="s">
        <v>27</v>
      </c>
      <c r="C84" s="10" t="s">
        <v>13</v>
      </c>
      <c r="D84" s="10" t="s">
        <v>8</v>
      </c>
      <c r="E84" s="10" t="s">
        <v>11</v>
      </c>
      <c r="F84" s="21">
        <f>F87+F85</f>
        <v>769769.58</v>
      </c>
      <c r="G84" s="40"/>
      <c r="H84" s="34"/>
    </row>
    <row r="85" spans="1:8" s="75" customFormat="1" ht="2.25" customHeight="1" hidden="1">
      <c r="A85" s="28" t="s">
        <v>434</v>
      </c>
      <c r="B85" s="71" t="s">
        <v>27</v>
      </c>
      <c r="C85" s="71" t="s">
        <v>13</v>
      </c>
      <c r="D85" s="71" t="s">
        <v>425</v>
      </c>
      <c r="E85" s="71" t="s">
        <v>11</v>
      </c>
      <c r="F85" s="72">
        <f>F86</f>
        <v>0</v>
      </c>
      <c r="G85" s="73"/>
      <c r="H85" s="74"/>
    </row>
    <row r="86" spans="1:8" s="75" customFormat="1" ht="0.75" customHeight="1">
      <c r="A86" s="28" t="s">
        <v>18</v>
      </c>
      <c r="B86" s="71" t="s">
        <v>27</v>
      </c>
      <c r="C86" s="71" t="s">
        <v>13</v>
      </c>
      <c r="D86" s="71" t="s">
        <v>425</v>
      </c>
      <c r="E86" s="51" t="s">
        <v>154</v>
      </c>
      <c r="F86" s="72"/>
      <c r="G86" s="73"/>
      <c r="H86" s="74"/>
    </row>
    <row r="87" spans="1:8" ht="17.25" customHeight="1">
      <c r="A87" s="4" t="s">
        <v>223</v>
      </c>
      <c r="B87" s="11" t="s">
        <v>27</v>
      </c>
      <c r="C87" s="11" t="s">
        <v>13</v>
      </c>
      <c r="D87" s="11" t="s">
        <v>314</v>
      </c>
      <c r="E87" s="11" t="s">
        <v>11</v>
      </c>
      <c r="F87" s="19">
        <f>F88</f>
        <v>769769.58</v>
      </c>
      <c r="G87" s="41"/>
      <c r="H87" s="31"/>
    </row>
    <row r="88" spans="1:8" ht="15.75" customHeight="1">
      <c r="A88" s="4" t="s">
        <v>18</v>
      </c>
      <c r="B88" s="11" t="s">
        <v>201</v>
      </c>
      <c r="C88" s="11" t="s">
        <v>13</v>
      </c>
      <c r="D88" s="11" t="s">
        <v>314</v>
      </c>
      <c r="E88" s="11" t="s">
        <v>154</v>
      </c>
      <c r="F88" s="17">
        <v>769769.58</v>
      </c>
      <c r="G88" s="41"/>
      <c r="H88" s="31"/>
    </row>
    <row r="89" spans="1:8" s="8" customFormat="1" ht="12.75">
      <c r="A89" s="6" t="s">
        <v>224</v>
      </c>
      <c r="B89" s="10" t="s">
        <v>27</v>
      </c>
      <c r="C89" s="10" t="s">
        <v>19</v>
      </c>
      <c r="D89" s="10" t="s">
        <v>8</v>
      </c>
      <c r="E89" s="10" t="s">
        <v>11</v>
      </c>
      <c r="F89" s="21">
        <f>F90+F92+F94</f>
        <v>3530443.79</v>
      </c>
      <c r="G89" s="40"/>
      <c r="H89" s="34"/>
    </row>
    <row r="90" spans="1:8" s="8" customFormat="1" ht="12.75">
      <c r="A90" s="28" t="s">
        <v>293</v>
      </c>
      <c r="B90" s="15" t="s">
        <v>27</v>
      </c>
      <c r="C90" s="15" t="s">
        <v>19</v>
      </c>
      <c r="D90" s="15" t="s">
        <v>266</v>
      </c>
      <c r="E90" s="15" t="s">
        <v>11</v>
      </c>
      <c r="F90" s="27">
        <f>F91</f>
        <v>3145922</v>
      </c>
      <c r="G90" s="32"/>
      <c r="H90" s="33"/>
    </row>
    <row r="91" spans="1:8" s="8" customFormat="1" ht="36" customHeight="1">
      <c r="A91" s="28" t="s">
        <v>268</v>
      </c>
      <c r="B91" s="15" t="s">
        <v>27</v>
      </c>
      <c r="C91" s="15" t="s">
        <v>19</v>
      </c>
      <c r="D91" s="15" t="s">
        <v>266</v>
      </c>
      <c r="E91" s="15" t="s">
        <v>267</v>
      </c>
      <c r="F91" s="27">
        <v>3145922</v>
      </c>
      <c r="G91" s="32"/>
      <c r="H91" s="31"/>
    </row>
    <row r="92" spans="1:8" s="14" customFormat="1" ht="33.75">
      <c r="A92" s="28" t="s">
        <v>225</v>
      </c>
      <c r="B92" s="51" t="s">
        <v>27</v>
      </c>
      <c r="C92" s="51" t="s">
        <v>19</v>
      </c>
      <c r="D92" s="51" t="s">
        <v>426</v>
      </c>
      <c r="E92" s="51" t="s">
        <v>11</v>
      </c>
      <c r="F92" s="19">
        <f>F93</f>
        <v>221675.79</v>
      </c>
      <c r="G92" s="41"/>
      <c r="H92" s="31"/>
    </row>
    <row r="93" spans="1:8" s="14" customFormat="1" ht="12.75">
      <c r="A93" s="28" t="s">
        <v>18</v>
      </c>
      <c r="B93" s="51" t="s">
        <v>27</v>
      </c>
      <c r="C93" s="51" t="s">
        <v>19</v>
      </c>
      <c r="D93" s="51" t="s">
        <v>426</v>
      </c>
      <c r="E93" s="51" t="s">
        <v>154</v>
      </c>
      <c r="F93" s="19">
        <v>221675.79</v>
      </c>
      <c r="G93" s="41"/>
      <c r="H93" s="31"/>
    </row>
    <row r="94" spans="1:8" s="14" customFormat="1" ht="33.75">
      <c r="A94" s="28" t="s">
        <v>384</v>
      </c>
      <c r="B94" s="51" t="s">
        <v>27</v>
      </c>
      <c r="C94" s="51" t="s">
        <v>19</v>
      </c>
      <c r="D94" s="51" t="s">
        <v>339</v>
      </c>
      <c r="E94" s="51" t="s">
        <v>11</v>
      </c>
      <c r="F94" s="19">
        <f>F95</f>
        <v>162846</v>
      </c>
      <c r="G94" s="41"/>
      <c r="H94" s="31"/>
    </row>
    <row r="95" spans="1:8" s="14" customFormat="1" ht="12.75">
      <c r="A95" s="28" t="s">
        <v>18</v>
      </c>
      <c r="B95" s="51" t="s">
        <v>27</v>
      </c>
      <c r="C95" s="51" t="s">
        <v>19</v>
      </c>
      <c r="D95" s="51" t="s">
        <v>339</v>
      </c>
      <c r="E95" s="51" t="s">
        <v>154</v>
      </c>
      <c r="F95" s="19">
        <v>162846</v>
      </c>
      <c r="G95" s="41"/>
      <c r="H95" s="31"/>
    </row>
    <row r="96" spans="1:8" ht="15" customHeight="1">
      <c r="A96" s="6" t="s">
        <v>227</v>
      </c>
      <c r="B96" s="10" t="s">
        <v>27</v>
      </c>
      <c r="C96" s="10" t="s">
        <v>27</v>
      </c>
      <c r="D96" s="10" t="s">
        <v>144</v>
      </c>
      <c r="E96" s="10" t="s">
        <v>11</v>
      </c>
      <c r="F96" s="21">
        <f>F97+F99+F101+F103+F107+F109+F105</f>
        <v>72895228.28</v>
      </c>
      <c r="G96" s="40"/>
      <c r="H96" s="34"/>
    </row>
    <row r="97" spans="1:8" ht="24" customHeight="1">
      <c r="A97" s="4" t="s">
        <v>228</v>
      </c>
      <c r="B97" s="11" t="s">
        <v>27</v>
      </c>
      <c r="C97" s="11" t="s">
        <v>27</v>
      </c>
      <c r="D97" s="11" t="s">
        <v>206</v>
      </c>
      <c r="E97" s="11" t="s">
        <v>11</v>
      </c>
      <c r="F97" s="17">
        <f>F98</f>
        <v>13176613.57</v>
      </c>
      <c r="G97" s="41"/>
      <c r="H97" s="31"/>
    </row>
    <row r="98" spans="1:8" ht="12.75">
      <c r="A98" s="4" t="s">
        <v>219</v>
      </c>
      <c r="B98" s="11" t="s">
        <v>27</v>
      </c>
      <c r="C98" s="11" t="s">
        <v>27</v>
      </c>
      <c r="D98" s="11" t="s">
        <v>248</v>
      </c>
      <c r="E98" s="11" t="s">
        <v>203</v>
      </c>
      <c r="F98" s="17">
        <v>13176613.57</v>
      </c>
      <c r="G98" s="41"/>
      <c r="H98" s="31"/>
    </row>
    <row r="99" spans="1:8" ht="11.25" customHeight="1">
      <c r="A99" s="4" t="s">
        <v>230</v>
      </c>
      <c r="B99" s="11" t="s">
        <v>27</v>
      </c>
      <c r="C99" s="11" t="s">
        <v>27</v>
      </c>
      <c r="D99" s="11" t="s">
        <v>229</v>
      </c>
      <c r="E99" s="11" t="s">
        <v>11</v>
      </c>
      <c r="F99" s="17">
        <f>F100</f>
        <v>2428199.3</v>
      </c>
      <c r="G99" s="41"/>
      <c r="H99" s="31"/>
    </row>
    <row r="100" spans="1:8" ht="14.25" customHeight="1">
      <c r="A100" s="4" t="s">
        <v>219</v>
      </c>
      <c r="B100" s="11" t="s">
        <v>27</v>
      </c>
      <c r="C100" s="11" t="s">
        <v>27</v>
      </c>
      <c r="D100" s="11" t="s">
        <v>232</v>
      </c>
      <c r="E100" s="11" t="s">
        <v>203</v>
      </c>
      <c r="F100" s="17">
        <v>2428199.3</v>
      </c>
      <c r="G100" s="41"/>
      <c r="H100" s="31"/>
    </row>
    <row r="101" spans="1:8" ht="25.5" customHeight="1">
      <c r="A101" s="4" t="s">
        <v>301</v>
      </c>
      <c r="B101" s="11" t="s">
        <v>27</v>
      </c>
      <c r="C101" s="11" t="s">
        <v>27</v>
      </c>
      <c r="D101" s="11" t="s">
        <v>300</v>
      </c>
      <c r="E101" s="11" t="s">
        <v>11</v>
      </c>
      <c r="F101" s="17">
        <f>F102</f>
        <v>37467512.6</v>
      </c>
      <c r="G101" s="41"/>
      <c r="H101" s="31"/>
    </row>
    <row r="102" spans="1:8" ht="12" customHeight="1">
      <c r="A102" s="4" t="s">
        <v>219</v>
      </c>
      <c r="B102" s="11" t="s">
        <v>27</v>
      </c>
      <c r="C102" s="11" t="s">
        <v>27</v>
      </c>
      <c r="D102" s="11" t="s">
        <v>300</v>
      </c>
      <c r="E102" s="11" t="s">
        <v>203</v>
      </c>
      <c r="F102" s="17">
        <v>37467512.6</v>
      </c>
      <c r="G102" s="41"/>
      <c r="H102" s="31"/>
    </row>
    <row r="103" spans="1:8" s="14" customFormat="1" ht="12.75">
      <c r="A103" s="28" t="s">
        <v>457</v>
      </c>
      <c r="B103" s="51" t="s">
        <v>27</v>
      </c>
      <c r="C103" s="51" t="s">
        <v>27</v>
      </c>
      <c r="D103" s="51" t="s">
        <v>340</v>
      </c>
      <c r="E103" s="51" t="s">
        <v>11</v>
      </c>
      <c r="F103" s="19">
        <f>F104</f>
        <v>5500000</v>
      </c>
      <c r="G103" s="41"/>
      <c r="H103" s="31"/>
    </row>
    <row r="104" spans="1:8" s="14" customFormat="1" ht="12" customHeight="1">
      <c r="A104" s="28" t="s">
        <v>219</v>
      </c>
      <c r="B104" s="51" t="s">
        <v>27</v>
      </c>
      <c r="C104" s="51" t="s">
        <v>27</v>
      </c>
      <c r="D104" s="51" t="s">
        <v>340</v>
      </c>
      <c r="E104" s="51" t="s">
        <v>203</v>
      </c>
      <c r="F104" s="19">
        <v>5500000</v>
      </c>
      <c r="G104" s="41"/>
      <c r="H104" s="31"/>
    </row>
    <row r="105" spans="1:8" s="14" customFormat="1" ht="12.75">
      <c r="A105" s="28" t="s">
        <v>435</v>
      </c>
      <c r="B105" s="51" t="s">
        <v>27</v>
      </c>
      <c r="C105" s="51" t="s">
        <v>27</v>
      </c>
      <c r="D105" s="51" t="s">
        <v>427</v>
      </c>
      <c r="E105" s="51" t="s">
        <v>11</v>
      </c>
      <c r="F105" s="19">
        <f>F106</f>
        <v>394270</v>
      </c>
      <c r="G105" s="41"/>
      <c r="H105" s="31"/>
    </row>
    <row r="106" spans="1:8" s="14" customFormat="1" ht="12" customHeight="1">
      <c r="A106" s="28" t="s">
        <v>219</v>
      </c>
      <c r="B106" s="51" t="s">
        <v>27</v>
      </c>
      <c r="C106" s="51" t="s">
        <v>27</v>
      </c>
      <c r="D106" s="51" t="s">
        <v>427</v>
      </c>
      <c r="E106" s="51" t="s">
        <v>203</v>
      </c>
      <c r="F106" s="19">
        <v>394270</v>
      </c>
      <c r="G106" s="41"/>
      <c r="H106" s="31"/>
    </row>
    <row r="107" spans="1:8" ht="27.75" customHeight="1">
      <c r="A107" s="4" t="s">
        <v>233</v>
      </c>
      <c r="B107" s="11" t="s">
        <v>27</v>
      </c>
      <c r="C107" s="11" t="s">
        <v>27</v>
      </c>
      <c r="D107" s="11" t="s">
        <v>309</v>
      </c>
      <c r="E107" s="11" t="s">
        <v>11</v>
      </c>
      <c r="F107" s="17">
        <f>F108</f>
        <v>13717640.440000001</v>
      </c>
      <c r="G107" s="41"/>
      <c r="H107" s="31"/>
    </row>
    <row r="108" spans="1:8" ht="12.75">
      <c r="A108" s="4" t="s">
        <v>219</v>
      </c>
      <c r="B108" s="11" t="s">
        <v>27</v>
      </c>
      <c r="C108" s="11" t="s">
        <v>27</v>
      </c>
      <c r="D108" s="11" t="s">
        <v>309</v>
      </c>
      <c r="E108" s="11" t="s">
        <v>203</v>
      </c>
      <c r="F108" s="17">
        <f>219518.14+148564.3+4179660+7185340+444508+1540050</f>
        <v>13717640.440000001</v>
      </c>
      <c r="G108" s="41"/>
      <c r="H108" s="31"/>
    </row>
    <row r="109" spans="1:8" ht="18" customHeight="1">
      <c r="A109" s="4" t="s">
        <v>221</v>
      </c>
      <c r="B109" s="11" t="s">
        <v>27</v>
      </c>
      <c r="C109" s="11" t="s">
        <v>27</v>
      </c>
      <c r="D109" s="11" t="s">
        <v>141</v>
      </c>
      <c r="E109" s="11" t="s">
        <v>11</v>
      </c>
      <c r="F109" s="17">
        <f>F110</f>
        <v>210992.37</v>
      </c>
      <c r="G109" s="41"/>
      <c r="H109" s="31"/>
    </row>
    <row r="110" spans="1:8" ht="12.75" customHeight="1">
      <c r="A110" s="4" t="s">
        <v>219</v>
      </c>
      <c r="B110" s="11" t="s">
        <v>27</v>
      </c>
      <c r="C110" s="11" t="s">
        <v>27</v>
      </c>
      <c r="D110" s="11" t="s">
        <v>152</v>
      </c>
      <c r="E110" s="11" t="s">
        <v>203</v>
      </c>
      <c r="F110" s="17">
        <v>210992.37</v>
      </c>
      <c r="G110" s="41"/>
      <c r="H110" s="31"/>
    </row>
    <row r="111" spans="1:8" ht="12.75">
      <c r="A111" s="7" t="s">
        <v>59</v>
      </c>
      <c r="B111" s="9" t="s">
        <v>31</v>
      </c>
      <c r="C111" s="9" t="s">
        <v>10</v>
      </c>
      <c r="D111" s="9" t="s">
        <v>8</v>
      </c>
      <c r="E111" s="9" t="s">
        <v>11</v>
      </c>
      <c r="F111" s="24">
        <f>F112</f>
        <v>96811391.62</v>
      </c>
      <c r="G111" s="38"/>
      <c r="H111" s="39"/>
    </row>
    <row r="112" spans="1:8" ht="22.5" customHeight="1">
      <c r="A112" s="6" t="s">
        <v>294</v>
      </c>
      <c r="B112" s="10" t="s">
        <v>31</v>
      </c>
      <c r="C112" s="10" t="s">
        <v>27</v>
      </c>
      <c r="D112" s="10" t="s">
        <v>8</v>
      </c>
      <c r="E112" s="10" t="s">
        <v>11</v>
      </c>
      <c r="F112" s="21">
        <f>F113+F115+F117</f>
        <v>96811391.62</v>
      </c>
      <c r="G112" s="40"/>
      <c r="H112" s="34"/>
    </row>
    <row r="113" spans="1:8" ht="12.75">
      <c r="A113" s="4" t="s">
        <v>218</v>
      </c>
      <c r="B113" s="11" t="s">
        <v>31</v>
      </c>
      <c r="C113" s="11" t="s">
        <v>27</v>
      </c>
      <c r="D113" s="11" t="s">
        <v>253</v>
      </c>
      <c r="E113" s="11" t="s">
        <v>11</v>
      </c>
      <c r="F113" s="17">
        <f>F114</f>
        <v>141190.5</v>
      </c>
      <c r="G113" s="41"/>
      <c r="H113" s="31"/>
    </row>
    <row r="114" spans="1:8" ht="12.75">
      <c r="A114" s="4" t="s">
        <v>219</v>
      </c>
      <c r="B114" s="11" t="s">
        <v>31</v>
      </c>
      <c r="C114" s="11" t="s">
        <v>27</v>
      </c>
      <c r="D114" s="11" t="s">
        <v>253</v>
      </c>
      <c r="E114" s="11" t="s">
        <v>203</v>
      </c>
      <c r="F114" s="17">
        <v>141190.5</v>
      </c>
      <c r="G114" s="41"/>
      <c r="H114" s="31"/>
    </row>
    <row r="115" spans="1:8" s="14" customFormat="1" ht="32.25" customHeight="1">
      <c r="A115" s="28" t="s">
        <v>387</v>
      </c>
      <c r="B115" s="51" t="s">
        <v>31</v>
      </c>
      <c r="C115" s="51" t="s">
        <v>27</v>
      </c>
      <c r="D115" s="51" t="s">
        <v>270</v>
      </c>
      <c r="E115" s="51" t="s">
        <v>11</v>
      </c>
      <c r="F115" s="19">
        <f>F116</f>
        <v>96640595</v>
      </c>
      <c r="G115" s="41"/>
      <c r="H115" s="31"/>
    </row>
    <row r="116" spans="1:8" s="14" customFormat="1" ht="12.75">
      <c r="A116" s="28" t="s">
        <v>219</v>
      </c>
      <c r="B116" s="51" t="s">
        <v>31</v>
      </c>
      <c r="C116" s="51" t="s">
        <v>27</v>
      </c>
      <c r="D116" s="51" t="s">
        <v>270</v>
      </c>
      <c r="E116" s="51" t="s">
        <v>203</v>
      </c>
      <c r="F116" s="19">
        <v>96640595</v>
      </c>
      <c r="G116" s="41"/>
      <c r="H116" s="31"/>
    </row>
    <row r="117" spans="1:8" s="14" customFormat="1" ht="12.75">
      <c r="A117" s="28" t="s">
        <v>221</v>
      </c>
      <c r="B117" s="51" t="s">
        <v>31</v>
      </c>
      <c r="C117" s="51" t="s">
        <v>27</v>
      </c>
      <c r="D117" s="51" t="s">
        <v>51</v>
      </c>
      <c r="E117" s="51" t="s">
        <v>11</v>
      </c>
      <c r="F117" s="19">
        <f>F118</f>
        <v>29606.12</v>
      </c>
      <c r="G117" s="41"/>
      <c r="H117" s="31"/>
    </row>
    <row r="118" spans="1:8" s="14" customFormat="1" ht="12.75">
      <c r="A118" s="28" t="s">
        <v>219</v>
      </c>
      <c r="B118" s="51" t="s">
        <v>31</v>
      </c>
      <c r="C118" s="51" t="s">
        <v>27</v>
      </c>
      <c r="D118" s="51" t="s">
        <v>51</v>
      </c>
      <c r="E118" s="51" t="s">
        <v>203</v>
      </c>
      <c r="F118" s="19">
        <v>29606.12</v>
      </c>
      <c r="G118" s="41"/>
      <c r="H118" s="31"/>
    </row>
    <row r="119" spans="1:8" s="14" customFormat="1" ht="12.75">
      <c r="A119" s="61" t="s">
        <v>60</v>
      </c>
      <c r="B119" s="62" t="s">
        <v>61</v>
      </c>
      <c r="C119" s="62" t="s">
        <v>10</v>
      </c>
      <c r="D119" s="62" t="s">
        <v>8</v>
      </c>
      <c r="E119" s="62" t="s">
        <v>11</v>
      </c>
      <c r="F119" s="70">
        <f>F120+F135+F162</f>
        <v>342233925.16</v>
      </c>
      <c r="G119" s="38"/>
      <c r="H119" s="39"/>
    </row>
    <row r="120" spans="1:8" s="14" customFormat="1" ht="12.75">
      <c r="A120" s="56" t="s">
        <v>62</v>
      </c>
      <c r="B120" s="57" t="s">
        <v>63</v>
      </c>
      <c r="C120" s="57" t="s">
        <v>9</v>
      </c>
      <c r="D120" s="57" t="s">
        <v>8</v>
      </c>
      <c r="E120" s="57" t="s">
        <v>11</v>
      </c>
      <c r="F120" s="58">
        <f>F121+F123+F125+F127+F129+F131+F133</f>
        <v>84636119.75000001</v>
      </c>
      <c r="G120" s="40"/>
      <c r="H120" s="34"/>
    </row>
    <row r="121" spans="1:8" s="14" customFormat="1" ht="12.75">
      <c r="A121" s="28" t="s">
        <v>64</v>
      </c>
      <c r="B121" s="51" t="s">
        <v>63</v>
      </c>
      <c r="C121" s="51" t="s">
        <v>9</v>
      </c>
      <c r="D121" s="51" t="s">
        <v>65</v>
      </c>
      <c r="E121" s="51" t="s">
        <v>11</v>
      </c>
      <c r="F121" s="19">
        <f>F122</f>
        <v>69485199.46</v>
      </c>
      <c r="G121" s="41"/>
      <c r="H121" s="31"/>
    </row>
    <row r="122" spans="1:8" s="14" customFormat="1" ht="12.75">
      <c r="A122" s="28" t="s">
        <v>38</v>
      </c>
      <c r="B122" s="51" t="s">
        <v>63</v>
      </c>
      <c r="C122" s="51" t="s">
        <v>9</v>
      </c>
      <c r="D122" s="51" t="s">
        <v>65</v>
      </c>
      <c r="E122" s="51" t="s">
        <v>39</v>
      </c>
      <c r="F122" s="19">
        <v>69485199.46</v>
      </c>
      <c r="G122" s="41"/>
      <c r="H122" s="31"/>
    </row>
    <row r="123" spans="1:8" s="14" customFormat="1" ht="12.75">
      <c r="A123" s="28" t="s">
        <v>64</v>
      </c>
      <c r="B123" s="51" t="s">
        <v>63</v>
      </c>
      <c r="C123" s="51" t="s">
        <v>9</v>
      </c>
      <c r="D123" s="51" t="s">
        <v>65</v>
      </c>
      <c r="E123" s="51" t="s">
        <v>11</v>
      </c>
      <c r="F123" s="19">
        <f>F124</f>
        <v>75240.93</v>
      </c>
      <c r="G123" s="41"/>
      <c r="H123" s="31"/>
    </row>
    <row r="124" spans="1:8" s="14" customFormat="1" ht="22.5">
      <c r="A124" s="28" t="s">
        <v>458</v>
      </c>
      <c r="B124" s="51" t="s">
        <v>63</v>
      </c>
      <c r="C124" s="51" t="s">
        <v>9</v>
      </c>
      <c r="D124" s="51" t="s">
        <v>65</v>
      </c>
      <c r="E124" s="51" t="s">
        <v>134</v>
      </c>
      <c r="F124" s="19">
        <v>75240.93</v>
      </c>
      <c r="G124" s="41"/>
      <c r="H124" s="31"/>
    </row>
    <row r="125" spans="1:8" s="14" customFormat="1" ht="22.5">
      <c r="A125" s="28" t="s">
        <v>389</v>
      </c>
      <c r="B125" s="51" t="s">
        <v>63</v>
      </c>
      <c r="C125" s="51" t="s">
        <v>9</v>
      </c>
      <c r="D125" s="51" t="s">
        <v>341</v>
      </c>
      <c r="E125" s="51" t="s">
        <v>11</v>
      </c>
      <c r="F125" s="19">
        <f>F126</f>
        <v>4790000</v>
      </c>
      <c r="G125" s="41"/>
      <c r="H125" s="31"/>
    </row>
    <row r="126" spans="1:8" s="14" customFormat="1" ht="12.75">
      <c r="A126" s="28" t="s">
        <v>38</v>
      </c>
      <c r="B126" s="51" t="s">
        <v>63</v>
      </c>
      <c r="C126" s="51" t="s">
        <v>9</v>
      </c>
      <c r="D126" s="51" t="s">
        <v>341</v>
      </c>
      <c r="E126" s="51" t="s">
        <v>39</v>
      </c>
      <c r="F126" s="19">
        <v>4790000</v>
      </c>
      <c r="G126" s="41"/>
      <c r="H126" s="31"/>
    </row>
    <row r="127" spans="1:8" s="14" customFormat="1" ht="22.5">
      <c r="A127" s="28" t="s">
        <v>390</v>
      </c>
      <c r="B127" s="51" t="s">
        <v>63</v>
      </c>
      <c r="C127" s="51" t="s">
        <v>9</v>
      </c>
      <c r="D127" s="51" t="s">
        <v>342</v>
      </c>
      <c r="E127" s="51" t="s">
        <v>11</v>
      </c>
      <c r="F127" s="19">
        <f>F128</f>
        <v>514400</v>
      </c>
      <c r="G127" s="41"/>
      <c r="H127" s="31"/>
    </row>
    <row r="128" spans="1:8" s="14" customFormat="1" ht="12.75">
      <c r="A128" s="28" t="s">
        <v>38</v>
      </c>
      <c r="B128" s="51" t="s">
        <v>63</v>
      </c>
      <c r="C128" s="51" t="s">
        <v>9</v>
      </c>
      <c r="D128" s="51" t="s">
        <v>342</v>
      </c>
      <c r="E128" s="51" t="s">
        <v>39</v>
      </c>
      <c r="F128" s="19">
        <v>514400</v>
      </c>
      <c r="G128" s="41"/>
      <c r="H128" s="31"/>
    </row>
    <row r="129" spans="1:8" s="14" customFormat="1" ht="22.5">
      <c r="A129" s="28" t="s">
        <v>390</v>
      </c>
      <c r="B129" s="51" t="s">
        <v>63</v>
      </c>
      <c r="C129" s="51" t="s">
        <v>9</v>
      </c>
      <c r="D129" s="51" t="s">
        <v>342</v>
      </c>
      <c r="E129" s="51" t="s">
        <v>11</v>
      </c>
      <c r="F129" s="19">
        <f>F130</f>
        <v>1223356.87</v>
      </c>
      <c r="G129" s="41"/>
      <c r="H129" s="31"/>
    </row>
    <row r="130" spans="1:8" s="14" customFormat="1" ht="12.75">
      <c r="A130" s="28" t="s">
        <v>18</v>
      </c>
      <c r="B130" s="51" t="s">
        <v>63</v>
      </c>
      <c r="C130" s="51" t="s">
        <v>9</v>
      </c>
      <c r="D130" s="51" t="s">
        <v>342</v>
      </c>
      <c r="E130" s="51" t="s">
        <v>154</v>
      </c>
      <c r="F130" s="19">
        <v>1223356.87</v>
      </c>
      <c r="G130" s="41"/>
      <c r="H130" s="31"/>
    </row>
    <row r="131" spans="1:8" s="14" customFormat="1" ht="45">
      <c r="A131" s="28" t="s">
        <v>391</v>
      </c>
      <c r="B131" s="51" t="s">
        <v>63</v>
      </c>
      <c r="C131" s="51" t="s">
        <v>9</v>
      </c>
      <c r="D131" s="51" t="s">
        <v>343</v>
      </c>
      <c r="E131" s="51" t="s">
        <v>11</v>
      </c>
      <c r="F131" s="19">
        <f>F132</f>
        <v>4279090.12</v>
      </c>
      <c r="G131" s="41"/>
      <c r="H131" s="31"/>
    </row>
    <row r="132" spans="1:8" s="14" customFormat="1" ht="12.75">
      <c r="A132" s="28" t="s">
        <v>38</v>
      </c>
      <c r="B132" s="51" t="s">
        <v>63</v>
      </c>
      <c r="C132" s="51" t="s">
        <v>9</v>
      </c>
      <c r="D132" s="51" t="s">
        <v>343</v>
      </c>
      <c r="E132" s="51" t="s">
        <v>39</v>
      </c>
      <c r="F132" s="19">
        <v>4279090.12</v>
      </c>
      <c r="G132" s="41"/>
      <c r="H132" s="31"/>
    </row>
    <row r="133" spans="1:8" s="14" customFormat="1" ht="24.75" customHeight="1">
      <c r="A133" s="28" t="s">
        <v>236</v>
      </c>
      <c r="B133" s="51" t="s">
        <v>63</v>
      </c>
      <c r="C133" s="51" t="s">
        <v>9</v>
      </c>
      <c r="D133" s="51" t="s">
        <v>254</v>
      </c>
      <c r="E133" s="51" t="s">
        <v>11</v>
      </c>
      <c r="F133" s="19">
        <f>F134</f>
        <v>4268832.37</v>
      </c>
      <c r="G133" s="41"/>
      <c r="H133" s="31"/>
    </row>
    <row r="134" spans="1:8" s="14" customFormat="1" ht="12.75">
      <c r="A134" s="28" t="s">
        <v>38</v>
      </c>
      <c r="B134" s="51" t="s">
        <v>63</v>
      </c>
      <c r="C134" s="51" t="s">
        <v>9</v>
      </c>
      <c r="D134" s="51" t="s">
        <v>254</v>
      </c>
      <c r="E134" s="51" t="s">
        <v>39</v>
      </c>
      <c r="F134" s="19">
        <v>4268832.37</v>
      </c>
      <c r="G134" s="41"/>
      <c r="H134" s="31"/>
    </row>
    <row r="135" spans="1:8" ht="12.75">
      <c r="A135" s="6" t="s">
        <v>66</v>
      </c>
      <c r="B135" s="10" t="s">
        <v>63</v>
      </c>
      <c r="C135" s="10" t="s">
        <v>13</v>
      </c>
      <c r="D135" s="10" t="s">
        <v>8</v>
      </c>
      <c r="E135" s="10" t="s">
        <v>11</v>
      </c>
      <c r="F135" s="21">
        <f>F136+F138+F140+F142+F144+F146+F148+F150+F152+F156+F158+F154+F160</f>
        <v>239482599.36</v>
      </c>
      <c r="G135" s="41"/>
      <c r="H135" s="31"/>
    </row>
    <row r="136" spans="1:8" ht="12.75">
      <c r="A136" s="4" t="s">
        <v>64</v>
      </c>
      <c r="B136" s="11" t="s">
        <v>63</v>
      </c>
      <c r="C136" s="11" t="s">
        <v>13</v>
      </c>
      <c r="D136" s="11" t="s">
        <v>67</v>
      </c>
      <c r="E136" s="11" t="s">
        <v>11</v>
      </c>
      <c r="F136" s="17">
        <f>F137</f>
        <v>28870552.43</v>
      </c>
      <c r="G136" s="41"/>
      <c r="H136" s="31"/>
    </row>
    <row r="137" spans="1:8" ht="12.75">
      <c r="A137" s="28" t="s">
        <v>38</v>
      </c>
      <c r="B137" s="11" t="s">
        <v>63</v>
      </c>
      <c r="C137" s="11" t="s">
        <v>13</v>
      </c>
      <c r="D137" s="11" t="s">
        <v>67</v>
      </c>
      <c r="E137" s="11" t="s">
        <v>39</v>
      </c>
      <c r="F137" s="19">
        <f>701191.79+28169360.64</f>
        <v>28870552.43</v>
      </c>
      <c r="G137" s="41"/>
      <c r="H137" s="31"/>
    </row>
    <row r="138" spans="1:8" s="14" customFormat="1" ht="33.75">
      <c r="A138" s="28" t="s">
        <v>170</v>
      </c>
      <c r="B138" s="51" t="s">
        <v>63</v>
      </c>
      <c r="C138" s="51" t="s">
        <v>13</v>
      </c>
      <c r="D138" s="51" t="s">
        <v>344</v>
      </c>
      <c r="E138" s="51" t="s">
        <v>11</v>
      </c>
      <c r="F138" s="19">
        <f>F139</f>
        <v>4844930.18</v>
      </c>
      <c r="G138" s="41"/>
      <c r="H138" s="31"/>
    </row>
    <row r="139" spans="1:8" s="14" customFormat="1" ht="18" customHeight="1">
      <c r="A139" s="28" t="s">
        <v>38</v>
      </c>
      <c r="B139" s="51" t="s">
        <v>63</v>
      </c>
      <c r="C139" s="51" t="s">
        <v>167</v>
      </c>
      <c r="D139" s="51" t="s">
        <v>344</v>
      </c>
      <c r="E139" s="51" t="s">
        <v>39</v>
      </c>
      <c r="F139" s="19">
        <v>4844930.18</v>
      </c>
      <c r="G139" s="41"/>
      <c r="H139" s="31"/>
    </row>
    <row r="140" spans="1:8" s="14" customFormat="1" ht="45">
      <c r="A140" s="28" t="s">
        <v>391</v>
      </c>
      <c r="B140" s="51" t="s">
        <v>63</v>
      </c>
      <c r="C140" s="51" t="s">
        <v>13</v>
      </c>
      <c r="D140" s="51" t="s">
        <v>345</v>
      </c>
      <c r="E140" s="51" t="s">
        <v>11</v>
      </c>
      <c r="F140" s="19">
        <f>F141</f>
        <v>10361891.39</v>
      </c>
      <c r="G140" s="41"/>
      <c r="H140" s="31"/>
    </row>
    <row r="141" spans="1:8" s="14" customFormat="1" ht="16.5" customHeight="1">
      <c r="A141" s="28" t="s">
        <v>38</v>
      </c>
      <c r="B141" s="51" t="s">
        <v>63</v>
      </c>
      <c r="C141" s="51" t="s">
        <v>13</v>
      </c>
      <c r="D141" s="51" t="s">
        <v>345</v>
      </c>
      <c r="E141" s="51" t="s">
        <v>39</v>
      </c>
      <c r="F141" s="19">
        <v>10361891.39</v>
      </c>
      <c r="G141" s="41"/>
      <c r="H141" s="31"/>
    </row>
    <row r="142" spans="1:8" s="14" customFormat="1" ht="22.5">
      <c r="A142" s="28" t="s">
        <v>392</v>
      </c>
      <c r="B142" s="51" t="s">
        <v>63</v>
      </c>
      <c r="C142" s="51" t="s">
        <v>13</v>
      </c>
      <c r="D142" s="51" t="s">
        <v>346</v>
      </c>
      <c r="E142" s="51" t="s">
        <v>11</v>
      </c>
      <c r="F142" s="19">
        <f>F143</f>
        <v>276923.31</v>
      </c>
      <c r="G142" s="41"/>
      <c r="H142" s="31"/>
    </row>
    <row r="143" spans="1:8" s="14" customFormat="1" ht="14.25" customHeight="1">
      <c r="A143" s="28" t="s">
        <v>38</v>
      </c>
      <c r="B143" s="51" t="s">
        <v>63</v>
      </c>
      <c r="C143" s="51" t="s">
        <v>13</v>
      </c>
      <c r="D143" s="51" t="s">
        <v>346</v>
      </c>
      <c r="E143" s="51" t="s">
        <v>39</v>
      </c>
      <c r="F143" s="19">
        <v>276923.31</v>
      </c>
      <c r="G143" s="41"/>
      <c r="H143" s="31"/>
    </row>
    <row r="144" spans="1:8" s="14" customFormat="1" ht="34.5" customHeight="1">
      <c r="A144" s="28" t="s">
        <v>393</v>
      </c>
      <c r="B144" s="51" t="s">
        <v>61</v>
      </c>
      <c r="C144" s="51" t="s">
        <v>13</v>
      </c>
      <c r="D144" s="51" t="s">
        <v>347</v>
      </c>
      <c r="E144" s="51" t="s">
        <v>11</v>
      </c>
      <c r="F144" s="19">
        <f>F145</f>
        <v>133629597.05</v>
      </c>
      <c r="G144" s="41"/>
      <c r="H144" s="31"/>
    </row>
    <row r="145" spans="1:8" s="14" customFormat="1" ht="12.75">
      <c r="A145" s="28" t="s">
        <v>38</v>
      </c>
      <c r="B145" s="51" t="s">
        <v>63</v>
      </c>
      <c r="C145" s="51" t="s">
        <v>13</v>
      </c>
      <c r="D145" s="51" t="s">
        <v>347</v>
      </c>
      <c r="E145" s="51" t="s">
        <v>39</v>
      </c>
      <c r="F145" s="19">
        <v>133629597.05</v>
      </c>
      <c r="G145" s="41"/>
      <c r="H145" s="31"/>
    </row>
    <row r="146" spans="1:8" s="14" customFormat="1" ht="22.5">
      <c r="A146" s="28" t="s">
        <v>392</v>
      </c>
      <c r="B146" s="51" t="s">
        <v>63</v>
      </c>
      <c r="C146" s="51" t="s">
        <v>13</v>
      </c>
      <c r="D146" s="51" t="s">
        <v>348</v>
      </c>
      <c r="E146" s="51" t="s">
        <v>273</v>
      </c>
      <c r="F146" s="19">
        <f>F147</f>
        <v>17781.42</v>
      </c>
      <c r="G146" s="41"/>
      <c r="H146" s="31"/>
    </row>
    <row r="147" spans="1:8" s="14" customFormat="1" ht="12.75">
      <c r="A147" s="28" t="s">
        <v>38</v>
      </c>
      <c r="B147" s="51" t="s">
        <v>63</v>
      </c>
      <c r="C147" s="51" t="s">
        <v>13</v>
      </c>
      <c r="D147" s="51" t="s">
        <v>348</v>
      </c>
      <c r="E147" s="51" t="s">
        <v>39</v>
      </c>
      <c r="F147" s="19">
        <v>17781.42</v>
      </c>
      <c r="G147" s="41"/>
      <c r="H147" s="31"/>
    </row>
    <row r="148" spans="1:8" s="14" customFormat="1" ht="48.75" customHeight="1">
      <c r="A148" s="28" t="s">
        <v>394</v>
      </c>
      <c r="B148" s="51" t="s">
        <v>63</v>
      </c>
      <c r="C148" s="51" t="s">
        <v>13</v>
      </c>
      <c r="D148" s="51" t="s">
        <v>349</v>
      </c>
      <c r="E148" s="51" t="s">
        <v>11</v>
      </c>
      <c r="F148" s="19">
        <f>F149</f>
        <v>35985567.75</v>
      </c>
      <c r="G148" s="41"/>
      <c r="H148" s="31"/>
    </row>
    <row r="149" spans="1:8" s="14" customFormat="1" ht="12.75">
      <c r="A149" s="28" t="s">
        <v>38</v>
      </c>
      <c r="B149" s="51" t="s">
        <v>63</v>
      </c>
      <c r="C149" s="51" t="s">
        <v>13</v>
      </c>
      <c r="D149" s="51" t="s">
        <v>349</v>
      </c>
      <c r="E149" s="51" t="s">
        <v>39</v>
      </c>
      <c r="F149" s="19">
        <v>35985567.75</v>
      </c>
      <c r="G149" s="41"/>
      <c r="H149" s="31"/>
    </row>
    <row r="150" spans="1:8" s="14" customFormat="1" ht="12.75">
      <c r="A150" s="28" t="s">
        <v>64</v>
      </c>
      <c r="B150" s="51" t="s">
        <v>63</v>
      </c>
      <c r="C150" s="51" t="s">
        <v>13</v>
      </c>
      <c r="D150" s="51" t="s">
        <v>70</v>
      </c>
      <c r="E150" s="51" t="s">
        <v>11</v>
      </c>
      <c r="F150" s="19">
        <f>F151</f>
        <v>18602478.67</v>
      </c>
      <c r="G150" s="41"/>
      <c r="H150" s="31"/>
    </row>
    <row r="151" spans="1:8" s="14" customFormat="1" ht="12.75">
      <c r="A151" s="28" t="s">
        <v>38</v>
      </c>
      <c r="B151" s="51" t="s">
        <v>63</v>
      </c>
      <c r="C151" s="51" t="s">
        <v>13</v>
      </c>
      <c r="D151" s="51" t="s">
        <v>70</v>
      </c>
      <c r="E151" s="51" t="s">
        <v>39</v>
      </c>
      <c r="F151" s="19">
        <f>11920633.5+6681845.17</f>
        <v>18602478.67</v>
      </c>
      <c r="G151" s="41"/>
      <c r="H151" s="31"/>
    </row>
    <row r="152" spans="1:8" s="14" customFormat="1" ht="45">
      <c r="A152" s="28" t="s">
        <v>391</v>
      </c>
      <c r="B152" s="51" t="s">
        <v>63</v>
      </c>
      <c r="C152" s="51" t="s">
        <v>13</v>
      </c>
      <c r="D152" s="51" t="s">
        <v>350</v>
      </c>
      <c r="E152" s="51" t="s">
        <v>11</v>
      </c>
      <c r="F152" s="19">
        <f>F153</f>
        <v>233890.86</v>
      </c>
      <c r="G152" s="41"/>
      <c r="H152" s="31"/>
    </row>
    <row r="153" spans="1:8" s="14" customFormat="1" ht="12.75">
      <c r="A153" s="28" t="s">
        <v>38</v>
      </c>
      <c r="B153" s="51" t="s">
        <v>63</v>
      </c>
      <c r="C153" s="51" t="s">
        <v>13</v>
      </c>
      <c r="D153" s="51" t="s">
        <v>350</v>
      </c>
      <c r="E153" s="51" t="s">
        <v>39</v>
      </c>
      <c r="F153" s="19">
        <f>124445.26+109445.6</f>
        <v>233890.86</v>
      </c>
      <c r="G153" s="41"/>
      <c r="H153" s="31"/>
    </row>
    <row r="154" spans="1:8" s="14" customFormat="1" ht="33.75">
      <c r="A154" s="28" t="s">
        <v>436</v>
      </c>
      <c r="B154" s="51" t="s">
        <v>63</v>
      </c>
      <c r="C154" s="51" t="s">
        <v>13</v>
      </c>
      <c r="D154" s="51" t="s">
        <v>428</v>
      </c>
      <c r="E154" s="51" t="s">
        <v>11</v>
      </c>
      <c r="F154" s="19">
        <f>F155</f>
        <v>1223660</v>
      </c>
      <c r="G154" s="41"/>
      <c r="H154" s="31"/>
    </row>
    <row r="155" spans="1:8" s="14" customFormat="1" ht="12.75">
      <c r="A155" s="28" t="s">
        <v>38</v>
      </c>
      <c r="B155" s="51" t="s">
        <v>63</v>
      </c>
      <c r="C155" s="51" t="s">
        <v>13</v>
      </c>
      <c r="D155" s="51" t="s">
        <v>428</v>
      </c>
      <c r="E155" s="51" t="s">
        <v>39</v>
      </c>
      <c r="F155" s="19">
        <v>1223660</v>
      </c>
      <c r="G155" s="41"/>
      <c r="H155" s="31"/>
    </row>
    <row r="156" spans="1:8" s="14" customFormat="1" ht="27.75" customHeight="1">
      <c r="A156" s="28" t="s">
        <v>395</v>
      </c>
      <c r="B156" s="51" t="s">
        <v>63</v>
      </c>
      <c r="C156" s="51" t="s">
        <v>13</v>
      </c>
      <c r="D156" s="51" t="s">
        <v>149</v>
      </c>
      <c r="E156" s="51" t="s">
        <v>11</v>
      </c>
      <c r="F156" s="19">
        <f>F157</f>
        <v>5229077.3</v>
      </c>
      <c r="G156" s="41"/>
      <c r="H156" s="31"/>
    </row>
    <row r="157" spans="1:8" s="14" customFormat="1" ht="12.75">
      <c r="A157" s="28" t="s">
        <v>38</v>
      </c>
      <c r="B157" s="51" t="s">
        <v>63</v>
      </c>
      <c r="C157" s="51" t="s">
        <v>13</v>
      </c>
      <c r="D157" s="51" t="s">
        <v>149</v>
      </c>
      <c r="E157" s="51" t="s">
        <v>39</v>
      </c>
      <c r="F157" s="19">
        <f>91865.93+5137211.37</f>
        <v>5229077.3</v>
      </c>
      <c r="G157" s="41"/>
      <c r="H157" s="31"/>
    </row>
    <row r="158" spans="1:8" s="14" customFormat="1" ht="22.5">
      <c r="A158" s="28" t="s">
        <v>220</v>
      </c>
      <c r="B158" s="51" t="s">
        <v>63</v>
      </c>
      <c r="C158" s="51" t="s">
        <v>13</v>
      </c>
      <c r="D158" s="51" t="s">
        <v>255</v>
      </c>
      <c r="E158" s="51" t="s">
        <v>11</v>
      </c>
      <c r="F158" s="19">
        <f>F159</f>
        <v>102800</v>
      </c>
      <c r="G158" s="41"/>
      <c r="H158" s="31"/>
    </row>
    <row r="159" spans="1:8" s="14" customFormat="1" ht="12.75">
      <c r="A159" s="28" t="s">
        <v>38</v>
      </c>
      <c r="B159" s="51" t="s">
        <v>63</v>
      </c>
      <c r="C159" s="51" t="s">
        <v>13</v>
      </c>
      <c r="D159" s="51" t="s">
        <v>255</v>
      </c>
      <c r="E159" s="51" t="s">
        <v>39</v>
      </c>
      <c r="F159" s="19">
        <v>102800</v>
      </c>
      <c r="G159" s="41"/>
      <c r="H159" s="31"/>
    </row>
    <row r="160" spans="1:8" s="14" customFormat="1" ht="22.5">
      <c r="A160" s="28" t="s">
        <v>455</v>
      </c>
      <c r="B160" s="51" t="s">
        <v>63</v>
      </c>
      <c r="C160" s="51" t="s">
        <v>13</v>
      </c>
      <c r="D160" s="51" t="s">
        <v>452</v>
      </c>
      <c r="E160" s="51" t="s">
        <v>11</v>
      </c>
      <c r="F160" s="19">
        <f>F161</f>
        <v>103449</v>
      </c>
      <c r="G160" s="41"/>
      <c r="H160" s="31"/>
    </row>
    <row r="161" spans="1:8" s="14" customFormat="1" ht="12.75">
      <c r="A161" s="28" t="s">
        <v>38</v>
      </c>
      <c r="B161" s="51" t="s">
        <v>63</v>
      </c>
      <c r="C161" s="51" t="s">
        <v>13</v>
      </c>
      <c r="D161" s="51" t="s">
        <v>452</v>
      </c>
      <c r="E161" s="51" t="s">
        <v>39</v>
      </c>
      <c r="F161" s="19">
        <v>103449</v>
      </c>
      <c r="G161" s="41"/>
      <c r="H161" s="31"/>
    </row>
    <row r="162" spans="1:8" ht="12.75">
      <c r="A162" s="6" t="s">
        <v>71</v>
      </c>
      <c r="B162" s="10" t="s">
        <v>63</v>
      </c>
      <c r="C162" s="10" t="s">
        <v>72</v>
      </c>
      <c r="D162" s="10" t="s">
        <v>8</v>
      </c>
      <c r="E162" s="10" t="s">
        <v>11</v>
      </c>
      <c r="F162" s="21">
        <f>F163+F165+F167+F169+F171</f>
        <v>18115206.05</v>
      </c>
      <c r="G162" s="32"/>
      <c r="H162" s="33"/>
    </row>
    <row r="163" spans="1:8" s="14" customFormat="1" ht="12.75">
      <c r="A163" s="28" t="s">
        <v>20</v>
      </c>
      <c r="B163" s="15" t="s">
        <v>63</v>
      </c>
      <c r="C163" s="15" t="s">
        <v>72</v>
      </c>
      <c r="D163" s="15" t="s">
        <v>21</v>
      </c>
      <c r="E163" s="15" t="s">
        <v>11</v>
      </c>
      <c r="F163" s="27">
        <f>F164</f>
        <v>1801238.28</v>
      </c>
      <c r="G163" s="41"/>
      <c r="H163" s="31"/>
    </row>
    <row r="164" spans="1:8" s="14" customFormat="1" ht="12.75">
      <c r="A164" s="28" t="s">
        <v>18</v>
      </c>
      <c r="B164" s="51" t="s">
        <v>63</v>
      </c>
      <c r="C164" s="51" t="s">
        <v>72</v>
      </c>
      <c r="D164" s="51" t="s">
        <v>21</v>
      </c>
      <c r="E164" s="51" t="s">
        <v>154</v>
      </c>
      <c r="F164" s="27">
        <v>1801238.28</v>
      </c>
      <c r="G164" s="41"/>
      <c r="H164" s="31"/>
    </row>
    <row r="165" spans="1:8" s="14" customFormat="1" ht="19.5" customHeight="1">
      <c r="A165" s="28" t="s">
        <v>64</v>
      </c>
      <c r="B165" s="15" t="s">
        <v>63</v>
      </c>
      <c r="C165" s="51" t="s">
        <v>72</v>
      </c>
      <c r="D165" s="15" t="s">
        <v>80</v>
      </c>
      <c r="E165" s="15" t="s">
        <v>11</v>
      </c>
      <c r="F165" s="27">
        <f>F166</f>
        <v>11642970.16</v>
      </c>
      <c r="G165" s="41"/>
      <c r="H165" s="33"/>
    </row>
    <row r="166" spans="1:8" s="14" customFormat="1" ht="21.75" customHeight="1">
      <c r="A166" s="28" t="s">
        <v>38</v>
      </c>
      <c r="B166" s="15" t="s">
        <v>63</v>
      </c>
      <c r="C166" s="15" t="s">
        <v>72</v>
      </c>
      <c r="D166" s="15" t="s">
        <v>80</v>
      </c>
      <c r="E166" s="15" t="s">
        <v>39</v>
      </c>
      <c r="F166" s="27">
        <v>11642970.16</v>
      </c>
      <c r="G166" s="41"/>
      <c r="H166" s="33"/>
    </row>
    <row r="167" spans="1:8" s="14" customFormat="1" ht="45">
      <c r="A167" s="28" t="s">
        <v>391</v>
      </c>
      <c r="B167" s="51" t="s">
        <v>61</v>
      </c>
      <c r="C167" s="51" t="s">
        <v>72</v>
      </c>
      <c r="D167" s="51" t="s">
        <v>351</v>
      </c>
      <c r="E167" s="51" t="s">
        <v>11</v>
      </c>
      <c r="F167" s="27">
        <f>F168</f>
        <v>111269.32</v>
      </c>
      <c r="G167" s="41"/>
      <c r="H167" s="33"/>
    </row>
    <row r="168" spans="1:8" s="14" customFormat="1" ht="12.75">
      <c r="A168" s="28" t="s">
        <v>38</v>
      </c>
      <c r="B168" s="15" t="s">
        <v>63</v>
      </c>
      <c r="C168" s="15" t="s">
        <v>72</v>
      </c>
      <c r="D168" s="51" t="s">
        <v>351</v>
      </c>
      <c r="E168" s="51" t="s">
        <v>39</v>
      </c>
      <c r="F168" s="27">
        <v>111269.32</v>
      </c>
      <c r="G168" s="41"/>
      <c r="H168" s="33"/>
    </row>
    <row r="169" spans="1:8" s="14" customFormat="1" ht="32.25" customHeight="1">
      <c r="A169" s="28" t="s">
        <v>220</v>
      </c>
      <c r="B169" s="51" t="s">
        <v>63</v>
      </c>
      <c r="C169" s="51" t="s">
        <v>72</v>
      </c>
      <c r="D169" s="51" t="s">
        <v>255</v>
      </c>
      <c r="E169" s="51" t="s">
        <v>11</v>
      </c>
      <c r="F169" s="19">
        <f>F170</f>
        <v>440608.48</v>
      </c>
      <c r="G169" s="41"/>
      <c r="H169" s="31"/>
    </row>
    <row r="170" spans="1:8" s="14" customFormat="1" ht="24.75" customHeight="1">
      <c r="A170" s="28" t="s">
        <v>38</v>
      </c>
      <c r="B170" s="51" t="s">
        <v>63</v>
      </c>
      <c r="C170" s="51" t="s">
        <v>72</v>
      </c>
      <c r="D170" s="51" t="s">
        <v>255</v>
      </c>
      <c r="E170" s="51" t="s">
        <v>39</v>
      </c>
      <c r="F170" s="19">
        <v>440608.48</v>
      </c>
      <c r="G170" s="41"/>
      <c r="H170" s="31"/>
    </row>
    <row r="171" spans="1:8" s="14" customFormat="1" ht="12.75">
      <c r="A171" s="28" t="s">
        <v>58</v>
      </c>
      <c r="B171" s="51" t="s">
        <v>63</v>
      </c>
      <c r="C171" s="51" t="s">
        <v>72</v>
      </c>
      <c r="D171" s="51" t="s">
        <v>51</v>
      </c>
      <c r="E171" s="51" t="s">
        <v>11</v>
      </c>
      <c r="F171" s="19">
        <f>F172</f>
        <v>4119119.81</v>
      </c>
      <c r="G171" s="41"/>
      <c r="H171" s="31"/>
    </row>
    <row r="172" spans="1:8" s="14" customFormat="1" ht="12.75">
      <c r="A172" s="28" t="s">
        <v>18</v>
      </c>
      <c r="B172" s="51" t="s">
        <v>63</v>
      </c>
      <c r="C172" s="51" t="s">
        <v>72</v>
      </c>
      <c r="D172" s="51" t="s">
        <v>51</v>
      </c>
      <c r="E172" s="51" t="s">
        <v>154</v>
      </c>
      <c r="F172" s="19">
        <v>4119119.81</v>
      </c>
      <c r="G172" s="41"/>
      <c r="H172" s="31"/>
    </row>
    <row r="173" spans="1:8" ht="22.5">
      <c r="A173" s="7" t="s">
        <v>74</v>
      </c>
      <c r="B173" s="9" t="s">
        <v>55</v>
      </c>
      <c r="C173" s="9" t="s">
        <v>10</v>
      </c>
      <c r="D173" s="9" t="s">
        <v>8</v>
      </c>
      <c r="E173" s="9" t="s">
        <v>11</v>
      </c>
      <c r="F173" s="24">
        <f>F174+F193</f>
        <v>37098315.11000001</v>
      </c>
      <c r="G173" s="41"/>
      <c r="H173" s="31"/>
    </row>
    <row r="174" spans="1:8" ht="12.75">
      <c r="A174" s="6" t="s">
        <v>73</v>
      </c>
      <c r="B174" s="10" t="s">
        <v>55</v>
      </c>
      <c r="C174" s="10" t="s">
        <v>9</v>
      </c>
      <c r="D174" s="10" t="s">
        <v>8</v>
      </c>
      <c r="E174" s="10" t="s">
        <v>11</v>
      </c>
      <c r="F174" s="21">
        <f>F175+F181+F183+F188+F179+F185+F191+F190</f>
        <v>33504655.010000005</v>
      </c>
      <c r="G174" s="41"/>
      <c r="H174" s="31"/>
    </row>
    <row r="175" spans="1:8" s="14" customFormat="1" ht="12.75">
      <c r="A175" s="28" t="s">
        <v>64</v>
      </c>
      <c r="B175" s="51" t="s">
        <v>55</v>
      </c>
      <c r="C175" s="51" t="s">
        <v>9</v>
      </c>
      <c r="D175" s="51" t="s">
        <v>75</v>
      </c>
      <c r="E175" s="51" t="s">
        <v>11</v>
      </c>
      <c r="F175" s="19">
        <f>F176+F177</f>
        <v>22805692.42</v>
      </c>
      <c r="G175" s="41"/>
      <c r="H175" s="31"/>
    </row>
    <row r="176" spans="1:8" s="14" customFormat="1" ht="12.75">
      <c r="A176" s="28" t="s">
        <v>38</v>
      </c>
      <c r="B176" s="51" t="s">
        <v>55</v>
      </c>
      <c r="C176" s="51" t="s">
        <v>9</v>
      </c>
      <c r="D176" s="51" t="s">
        <v>76</v>
      </c>
      <c r="E176" s="51" t="s">
        <v>39</v>
      </c>
      <c r="F176" s="19">
        <v>22668437.78</v>
      </c>
      <c r="G176" s="41"/>
      <c r="H176" s="31"/>
    </row>
    <row r="177" spans="1:8" s="14" customFormat="1" ht="12.75">
      <c r="A177" s="28" t="s">
        <v>64</v>
      </c>
      <c r="B177" s="51" t="s">
        <v>55</v>
      </c>
      <c r="C177" s="51" t="s">
        <v>9</v>
      </c>
      <c r="D177" s="51" t="s">
        <v>75</v>
      </c>
      <c r="E177" s="51" t="s">
        <v>11</v>
      </c>
      <c r="F177" s="19">
        <f>F178</f>
        <v>137254.64</v>
      </c>
      <c r="G177" s="41"/>
      <c r="H177" s="31"/>
    </row>
    <row r="178" spans="1:8" s="14" customFormat="1" ht="22.5">
      <c r="A178" s="28" t="s">
        <v>388</v>
      </c>
      <c r="B178" s="51" t="s">
        <v>55</v>
      </c>
      <c r="C178" s="51" t="s">
        <v>9</v>
      </c>
      <c r="D178" s="51" t="s">
        <v>75</v>
      </c>
      <c r="E178" s="51" t="s">
        <v>139</v>
      </c>
      <c r="F178" s="19">
        <v>137254.64</v>
      </c>
      <c r="G178" s="41"/>
      <c r="H178" s="31"/>
    </row>
    <row r="179" spans="1:8" s="14" customFormat="1" ht="45">
      <c r="A179" s="28" t="s">
        <v>391</v>
      </c>
      <c r="B179" s="51" t="s">
        <v>55</v>
      </c>
      <c r="C179" s="51" t="s">
        <v>9</v>
      </c>
      <c r="D179" s="51" t="s">
        <v>352</v>
      </c>
      <c r="E179" s="51" t="s">
        <v>11</v>
      </c>
      <c r="F179" s="19">
        <f>F180</f>
        <v>2781765.28</v>
      </c>
      <c r="G179" s="41"/>
      <c r="H179" s="31"/>
    </row>
    <row r="180" spans="1:8" s="14" customFormat="1" ht="12.75">
      <c r="A180" s="28" t="s">
        <v>38</v>
      </c>
      <c r="B180" s="51" t="s">
        <v>55</v>
      </c>
      <c r="C180" s="51" t="s">
        <v>9</v>
      </c>
      <c r="D180" s="51" t="s">
        <v>352</v>
      </c>
      <c r="E180" s="51" t="s">
        <v>39</v>
      </c>
      <c r="F180" s="19">
        <v>2781765.28</v>
      </c>
      <c r="G180" s="41"/>
      <c r="H180" s="31"/>
    </row>
    <row r="181" spans="1:8" s="14" customFormat="1" ht="12.75">
      <c r="A181" s="28" t="s">
        <v>64</v>
      </c>
      <c r="B181" s="51" t="s">
        <v>55</v>
      </c>
      <c r="C181" s="51" t="s">
        <v>9</v>
      </c>
      <c r="D181" s="51" t="s">
        <v>77</v>
      </c>
      <c r="E181" s="51" t="s">
        <v>11</v>
      </c>
      <c r="F181" s="19">
        <f>F182</f>
        <v>519034.87</v>
      </c>
      <c r="G181" s="40"/>
      <c r="H181" s="34"/>
    </row>
    <row r="182" spans="1:8" s="14" customFormat="1" ht="12.75">
      <c r="A182" s="28" t="s">
        <v>38</v>
      </c>
      <c r="B182" s="51" t="s">
        <v>55</v>
      </c>
      <c r="C182" s="51" t="s">
        <v>9</v>
      </c>
      <c r="D182" s="51" t="s">
        <v>77</v>
      </c>
      <c r="E182" s="51" t="s">
        <v>39</v>
      </c>
      <c r="F182" s="19">
        <v>519034.87</v>
      </c>
      <c r="G182" s="41"/>
      <c r="H182" s="31"/>
    </row>
    <row r="183" spans="1:8" s="14" customFormat="1" ht="12.75">
      <c r="A183" s="28" t="s">
        <v>64</v>
      </c>
      <c r="B183" s="51" t="s">
        <v>55</v>
      </c>
      <c r="C183" s="51" t="s">
        <v>9</v>
      </c>
      <c r="D183" s="51" t="s">
        <v>78</v>
      </c>
      <c r="E183" s="51" t="s">
        <v>11</v>
      </c>
      <c r="F183" s="19">
        <f>F184</f>
        <v>5116812.16</v>
      </c>
      <c r="G183" s="41"/>
      <c r="H183" s="31"/>
    </row>
    <row r="184" spans="1:8" s="14" customFormat="1" ht="12.75">
      <c r="A184" s="28" t="s">
        <v>38</v>
      </c>
      <c r="B184" s="51" t="s">
        <v>55</v>
      </c>
      <c r="C184" s="51" t="s">
        <v>9</v>
      </c>
      <c r="D184" s="51" t="s">
        <v>78</v>
      </c>
      <c r="E184" s="51" t="s">
        <v>39</v>
      </c>
      <c r="F184" s="19">
        <v>5116812.16</v>
      </c>
      <c r="G184" s="41"/>
      <c r="H184" s="31"/>
    </row>
    <row r="185" spans="1:8" s="14" customFormat="1" ht="45">
      <c r="A185" s="28" t="s">
        <v>391</v>
      </c>
      <c r="B185" s="51" t="s">
        <v>55</v>
      </c>
      <c r="C185" s="51" t="s">
        <v>9</v>
      </c>
      <c r="D185" s="51" t="s">
        <v>353</v>
      </c>
      <c r="E185" s="51" t="s">
        <v>11</v>
      </c>
      <c r="F185" s="19">
        <f>F186</f>
        <v>85475</v>
      </c>
      <c r="G185" s="41"/>
      <c r="H185" s="31"/>
    </row>
    <row r="186" spans="1:8" s="14" customFormat="1" ht="12.75">
      <c r="A186" s="28" t="s">
        <v>38</v>
      </c>
      <c r="B186" s="51" t="s">
        <v>55</v>
      </c>
      <c r="C186" s="51" t="s">
        <v>9</v>
      </c>
      <c r="D186" s="51" t="s">
        <v>353</v>
      </c>
      <c r="E186" s="51" t="s">
        <v>39</v>
      </c>
      <c r="F186" s="19">
        <v>85475</v>
      </c>
      <c r="G186" s="41"/>
      <c r="H186" s="31"/>
    </row>
    <row r="187" spans="1:8" s="14" customFormat="1" ht="22.5">
      <c r="A187" s="28" t="s">
        <v>392</v>
      </c>
      <c r="B187" s="51" t="s">
        <v>55</v>
      </c>
      <c r="C187" s="51" t="s">
        <v>9</v>
      </c>
      <c r="D187" s="51" t="s">
        <v>354</v>
      </c>
      <c r="E187" s="51" t="s">
        <v>11</v>
      </c>
      <c r="F187" s="19">
        <f>F188</f>
        <v>619614.09</v>
      </c>
      <c r="G187" s="41"/>
      <c r="H187" s="31"/>
    </row>
    <row r="188" spans="1:8" s="14" customFormat="1" ht="12.75">
      <c r="A188" s="28" t="s">
        <v>38</v>
      </c>
      <c r="B188" s="51" t="s">
        <v>55</v>
      </c>
      <c r="C188" s="51" t="s">
        <v>9</v>
      </c>
      <c r="D188" s="51" t="s">
        <v>354</v>
      </c>
      <c r="E188" s="51" t="s">
        <v>39</v>
      </c>
      <c r="F188" s="19">
        <v>619614.09</v>
      </c>
      <c r="G188" s="41"/>
      <c r="H188" s="31"/>
    </row>
    <row r="189" spans="1:8" s="14" customFormat="1" ht="33.75">
      <c r="A189" s="28" t="s">
        <v>436</v>
      </c>
      <c r="B189" s="51" t="s">
        <v>55</v>
      </c>
      <c r="C189" s="51" t="s">
        <v>9</v>
      </c>
      <c r="D189" s="51" t="s">
        <v>429</v>
      </c>
      <c r="E189" s="51" t="s">
        <v>11</v>
      </c>
      <c r="F189" s="19">
        <f>F190</f>
        <v>1212182.14</v>
      </c>
      <c r="G189" s="41"/>
      <c r="H189" s="31"/>
    </row>
    <row r="190" spans="1:8" s="14" customFormat="1" ht="12.75">
      <c r="A190" s="28" t="s">
        <v>38</v>
      </c>
      <c r="B190" s="51" t="s">
        <v>55</v>
      </c>
      <c r="C190" s="51" t="s">
        <v>9</v>
      </c>
      <c r="D190" s="51" t="s">
        <v>429</v>
      </c>
      <c r="E190" s="51" t="s">
        <v>39</v>
      </c>
      <c r="F190" s="19">
        <v>1212182.14</v>
      </c>
      <c r="G190" s="41"/>
      <c r="H190" s="31"/>
    </row>
    <row r="191" spans="1:8" s="14" customFormat="1" ht="23.25" customHeight="1">
      <c r="A191" s="28" t="s">
        <v>307</v>
      </c>
      <c r="B191" s="51" t="s">
        <v>55</v>
      </c>
      <c r="C191" s="51" t="s">
        <v>9</v>
      </c>
      <c r="D191" s="51" t="s">
        <v>306</v>
      </c>
      <c r="E191" s="51" t="s">
        <v>11</v>
      </c>
      <c r="F191" s="19">
        <f>F192</f>
        <v>364079.05</v>
      </c>
      <c r="G191" s="41"/>
      <c r="H191" s="31"/>
    </row>
    <row r="192" spans="1:8" s="14" customFormat="1" ht="22.5" customHeight="1">
      <c r="A192" s="28" t="s">
        <v>38</v>
      </c>
      <c r="B192" s="51" t="s">
        <v>55</v>
      </c>
      <c r="C192" s="51" t="s">
        <v>9</v>
      </c>
      <c r="D192" s="51" t="s">
        <v>306</v>
      </c>
      <c r="E192" s="51" t="s">
        <v>39</v>
      </c>
      <c r="F192" s="19">
        <v>364079.05</v>
      </c>
      <c r="G192" s="41"/>
      <c r="H192" s="31"/>
    </row>
    <row r="193" spans="1:8" s="14" customFormat="1" ht="22.5">
      <c r="A193" s="56" t="s">
        <v>79</v>
      </c>
      <c r="B193" s="57" t="s">
        <v>55</v>
      </c>
      <c r="C193" s="57" t="s">
        <v>31</v>
      </c>
      <c r="D193" s="57" t="s">
        <v>8</v>
      </c>
      <c r="E193" s="57" t="s">
        <v>11</v>
      </c>
      <c r="F193" s="59">
        <f>F194+F196</f>
        <v>3593660.0999999996</v>
      </c>
      <c r="G193" s="41"/>
      <c r="H193" s="31"/>
    </row>
    <row r="194" spans="1:8" s="14" customFormat="1" ht="12.75">
      <c r="A194" s="28" t="s">
        <v>20</v>
      </c>
      <c r="B194" s="15" t="s">
        <v>55</v>
      </c>
      <c r="C194" s="15" t="s">
        <v>31</v>
      </c>
      <c r="D194" s="15" t="s">
        <v>21</v>
      </c>
      <c r="E194" s="15" t="s">
        <v>11</v>
      </c>
      <c r="F194" s="27">
        <f>F195</f>
        <v>815165.03</v>
      </c>
      <c r="G194" s="41"/>
      <c r="H194" s="31"/>
    </row>
    <row r="195" spans="1:8" s="14" customFormat="1" ht="12.75">
      <c r="A195" s="28" t="s">
        <v>18</v>
      </c>
      <c r="B195" s="15" t="s">
        <v>55</v>
      </c>
      <c r="C195" s="15" t="s">
        <v>31</v>
      </c>
      <c r="D195" s="15" t="s">
        <v>21</v>
      </c>
      <c r="E195" s="15" t="s">
        <v>154</v>
      </c>
      <c r="F195" s="27">
        <v>815165.03</v>
      </c>
      <c r="G195" s="41"/>
      <c r="H195" s="31"/>
    </row>
    <row r="196" spans="1:8" s="14" customFormat="1" ht="12.75">
      <c r="A196" s="28" t="s">
        <v>64</v>
      </c>
      <c r="B196" s="51" t="s">
        <v>55</v>
      </c>
      <c r="C196" s="51" t="s">
        <v>31</v>
      </c>
      <c r="D196" s="51" t="s">
        <v>80</v>
      </c>
      <c r="E196" s="51" t="s">
        <v>11</v>
      </c>
      <c r="F196" s="19">
        <f>F197</f>
        <v>2778495.07</v>
      </c>
      <c r="G196" s="41"/>
      <c r="H196" s="31"/>
    </row>
    <row r="197" spans="1:8" s="14" customFormat="1" ht="12.75">
      <c r="A197" s="28" t="s">
        <v>38</v>
      </c>
      <c r="B197" s="51" t="s">
        <v>55</v>
      </c>
      <c r="C197" s="51" t="s">
        <v>81</v>
      </c>
      <c r="D197" s="51" t="s">
        <v>80</v>
      </c>
      <c r="E197" s="51" t="s">
        <v>82</v>
      </c>
      <c r="F197" s="19">
        <v>2778495.07</v>
      </c>
      <c r="G197" s="41"/>
      <c r="H197" s="31"/>
    </row>
    <row r="198" spans="1:8" ht="12.75">
      <c r="A198" s="7" t="s">
        <v>83</v>
      </c>
      <c r="B198" s="9" t="s">
        <v>72</v>
      </c>
      <c r="C198" s="9" t="s">
        <v>10</v>
      </c>
      <c r="D198" s="9" t="s">
        <v>8</v>
      </c>
      <c r="E198" s="9" t="s">
        <v>11</v>
      </c>
      <c r="F198" s="24">
        <f>F199+F212+F230+F237+F223</f>
        <v>94457296.24</v>
      </c>
      <c r="G198" s="32"/>
      <c r="H198" s="33"/>
    </row>
    <row r="199" spans="1:8" ht="12.75">
      <c r="A199" s="6" t="s">
        <v>84</v>
      </c>
      <c r="B199" s="10" t="s">
        <v>72</v>
      </c>
      <c r="C199" s="10" t="s">
        <v>9</v>
      </c>
      <c r="D199" s="10" t="s">
        <v>8</v>
      </c>
      <c r="E199" s="10" t="s">
        <v>11</v>
      </c>
      <c r="F199" s="21">
        <f>F200+F202+F204+F206+F208+F210</f>
        <v>46678576.8</v>
      </c>
      <c r="G199" s="32"/>
      <c r="H199" s="33"/>
    </row>
    <row r="200" spans="1:8" ht="33.75" customHeight="1">
      <c r="A200" s="64" t="s">
        <v>90</v>
      </c>
      <c r="B200" s="11" t="s">
        <v>72</v>
      </c>
      <c r="C200" s="11" t="s">
        <v>9</v>
      </c>
      <c r="D200" s="13" t="s">
        <v>322</v>
      </c>
      <c r="E200" s="13" t="s">
        <v>11</v>
      </c>
      <c r="F200" s="27">
        <f>F201</f>
        <v>300000</v>
      </c>
      <c r="G200" s="32"/>
      <c r="H200" s="33"/>
    </row>
    <row r="201" spans="1:8" ht="12.75">
      <c r="A201" s="4" t="s">
        <v>64</v>
      </c>
      <c r="B201" s="11" t="s">
        <v>72</v>
      </c>
      <c r="C201" s="11" t="s">
        <v>9</v>
      </c>
      <c r="D201" s="13" t="s">
        <v>322</v>
      </c>
      <c r="E201" s="13" t="s">
        <v>308</v>
      </c>
      <c r="F201" s="27">
        <v>300000</v>
      </c>
      <c r="G201" s="32"/>
      <c r="H201" s="33"/>
    </row>
    <row r="202" spans="1:8" ht="12.75">
      <c r="A202" s="4" t="s">
        <v>64</v>
      </c>
      <c r="B202" s="11" t="s">
        <v>72</v>
      </c>
      <c r="C202" s="11" t="s">
        <v>9</v>
      </c>
      <c r="D202" s="11" t="s">
        <v>85</v>
      </c>
      <c r="E202" s="11" t="s">
        <v>11</v>
      </c>
      <c r="F202" s="17">
        <f>F203</f>
        <v>42025121.32</v>
      </c>
      <c r="G202" s="41"/>
      <c r="H202" s="31"/>
    </row>
    <row r="203" spans="1:8" ht="12.75">
      <c r="A203" s="4" t="s">
        <v>38</v>
      </c>
      <c r="B203" s="11" t="s">
        <v>72</v>
      </c>
      <c r="C203" s="11" t="s">
        <v>9</v>
      </c>
      <c r="D203" s="11" t="s">
        <v>85</v>
      </c>
      <c r="E203" s="11" t="s">
        <v>39</v>
      </c>
      <c r="F203" s="17">
        <f>212645+41812476.32</f>
        <v>42025121.32</v>
      </c>
      <c r="G203" s="41"/>
      <c r="H203" s="31"/>
    </row>
    <row r="204" spans="1:8" ht="12.75">
      <c r="A204" s="4" t="s">
        <v>64</v>
      </c>
      <c r="B204" s="11" t="s">
        <v>72</v>
      </c>
      <c r="C204" s="11" t="s">
        <v>9</v>
      </c>
      <c r="D204" s="11" t="s">
        <v>85</v>
      </c>
      <c r="E204" s="11" t="s">
        <v>11</v>
      </c>
      <c r="F204" s="17">
        <f>F205</f>
        <v>59095.8</v>
      </c>
      <c r="G204" s="41"/>
      <c r="H204" s="31"/>
    </row>
    <row r="205" spans="1:8" ht="34.5" customHeight="1">
      <c r="A205" s="4" t="s">
        <v>397</v>
      </c>
      <c r="B205" s="11" t="s">
        <v>72</v>
      </c>
      <c r="C205" s="11" t="s">
        <v>9</v>
      </c>
      <c r="D205" s="11" t="s">
        <v>85</v>
      </c>
      <c r="E205" s="11" t="s">
        <v>275</v>
      </c>
      <c r="F205" s="17">
        <v>59095.8</v>
      </c>
      <c r="G205" s="41"/>
      <c r="H205" s="31"/>
    </row>
    <row r="206" spans="1:8" ht="22.5">
      <c r="A206" s="4" t="s">
        <v>389</v>
      </c>
      <c r="B206" s="11" t="s">
        <v>72</v>
      </c>
      <c r="C206" s="11" t="s">
        <v>9</v>
      </c>
      <c r="D206" s="11" t="s">
        <v>355</v>
      </c>
      <c r="E206" s="11" t="s">
        <v>11</v>
      </c>
      <c r="F206" s="17">
        <f>F207</f>
        <v>2000000</v>
      </c>
      <c r="G206" s="41"/>
      <c r="H206" s="31"/>
    </row>
    <row r="207" spans="1:8" ht="12.75">
      <c r="A207" s="4" t="s">
        <v>38</v>
      </c>
      <c r="B207" s="11" t="s">
        <v>72</v>
      </c>
      <c r="C207" s="11" t="s">
        <v>9</v>
      </c>
      <c r="D207" s="11" t="s">
        <v>355</v>
      </c>
      <c r="E207" s="11" t="s">
        <v>39</v>
      </c>
      <c r="F207" s="17">
        <v>2000000</v>
      </c>
      <c r="G207" s="41"/>
      <c r="H207" s="31"/>
    </row>
    <row r="208" spans="1:8" ht="45">
      <c r="A208" s="4" t="s">
        <v>391</v>
      </c>
      <c r="B208" s="11" t="s">
        <v>72</v>
      </c>
      <c r="C208" s="11" t="s">
        <v>9</v>
      </c>
      <c r="D208" s="11" t="s">
        <v>356</v>
      </c>
      <c r="E208" s="11" t="s">
        <v>11</v>
      </c>
      <c r="F208" s="17">
        <f>F209</f>
        <v>2112159.68</v>
      </c>
      <c r="G208" s="41"/>
      <c r="H208" s="31"/>
    </row>
    <row r="209" spans="1:8" ht="12.75">
      <c r="A209" s="4" t="s">
        <v>38</v>
      </c>
      <c r="B209" s="11" t="s">
        <v>72</v>
      </c>
      <c r="C209" s="11" t="s">
        <v>9</v>
      </c>
      <c r="D209" s="11" t="s">
        <v>356</v>
      </c>
      <c r="E209" s="11" t="s">
        <v>39</v>
      </c>
      <c r="F209" s="17">
        <v>2112159.68</v>
      </c>
      <c r="G209" s="41"/>
      <c r="H209" s="31"/>
    </row>
    <row r="210" spans="1:8" ht="12.75">
      <c r="A210" s="4" t="s">
        <v>64</v>
      </c>
      <c r="B210" s="11" t="s">
        <v>72</v>
      </c>
      <c r="C210" s="11" t="s">
        <v>9</v>
      </c>
      <c r="D210" s="11" t="s">
        <v>357</v>
      </c>
      <c r="E210" s="11" t="s">
        <v>11</v>
      </c>
      <c r="F210" s="17">
        <f>F211</f>
        <v>182200</v>
      </c>
      <c r="G210" s="41"/>
      <c r="H210" s="31"/>
    </row>
    <row r="211" spans="1:8" ht="12.75">
      <c r="A211" s="4" t="s">
        <v>38</v>
      </c>
      <c r="B211" s="11" t="s">
        <v>72</v>
      </c>
      <c r="C211" s="11" t="s">
        <v>9</v>
      </c>
      <c r="D211" s="11" t="s">
        <v>357</v>
      </c>
      <c r="E211" s="11" t="s">
        <v>39</v>
      </c>
      <c r="F211" s="17">
        <v>182200</v>
      </c>
      <c r="G211" s="38"/>
      <c r="H211" s="39"/>
    </row>
    <row r="212" spans="1:8" ht="12.75">
      <c r="A212" s="6" t="s">
        <v>86</v>
      </c>
      <c r="B212" s="10" t="s">
        <v>72</v>
      </c>
      <c r="C212" s="10" t="s">
        <v>13</v>
      </c>
      <c r="D212" s="10" t="s">
        <v>8</v>
      </c>
      <c r="E212" s="10" t="s">
        <v>11</v>
      </c>
      <c r="F212" s="21">
        <f>F213+F215+F217+F219+F221</f>
        <v>28912165.659999996</v>
      </c>
      <c r="G212" s="40"/>
      <c r="H212" s="34"/>
    </row>
    <row r="213" spans="1:8" ht="12.75">
      <c r="A213" s="4" t="s">
        <v>64</v>
      </c>
      <c r="B213" s="11" t="s">
        <v>72</v>
      </c>
      <c r="C213" s="11" t="s">
        <v>13</v>
      </c>
      <c r="D213" s="11" t="s">
        <v>87</v>
      </c>
      <c r="E213" s="11" t="s">
        <v>11</v>
      </c>
      <c r="F213" s="17">
        <f>F214</f>
        <v>20402218.99</v>
      </c>
      <c r="G213" s="41"/>
      <c r="H213" s="31"/>
    </row>
    <row r="214" spans="1:8" ht="12.75">
      <c r="A214" s="4" t="s">
        <v>38</v>
      </c>
      <c r="B214" s="11" t="s">
        <v>72</v>
      </c>
      <c r="C214" s="11" t="s">
        <v>13</v>
      </c>
      <c r="D214" s="11" t="s">
        <v>87</v>
      </c>
      <c r="E214" s="11" t="s">
        <v>39</v>
      </c>
      <c r="F214" s="65">
        <v>20402218.99</v>
      </c>
      <c r="G214" s="41"/>
      <c r="H214" s="31"/>
    </row>
    <row r="215" spans="1:8" ht="45">
      <c r="A215" s="4" t="s">
        <v>391</v>
      </c>
      <c r="B215" s="11" t="s">
        <v>72</v>
      </c>
      <c r="C215" s="11" t="s">
        <v>13</v>
      </c>
      <c r="D215" s="11" t="s">
        <v>358</v>
      </c>
      <c r="E215" s="11" t="s">
        <v>11</v>
      </c>
      <c r="F215" s="17">
        <f>F216</f>
        <v>599279.23</v>
      </c>
      <c r="G215" s="41"/>
      <c r="H215" s="31"/>
    </row>
    <row r="216" spans="1:8" ht="12.75">
      <c r="A216" s="4" t="s">
        <v>38</v>
      </c>
      <c r="B216" s="11" t="s">
        <v>72</v>
      </c>
      <c r="C216" s="11" t="s">
        <v>13</v>
      </c>
      <c r="D216" s="11" t="s">
        <v>358</v>
      </c>
      <c r="E216" s="11" t="s">
        <v>39</v>
      </c>
      <c r="F216" s="17">
        <v>599279.23</v>
      </c>
      <c r="G216" s="41"/>
      <c r="H216" s="31"/>
    </row>
    <row r="217" spans="1:8" ht="12.75">
      <c r="A217" s="4" t="s">
        <v>64</v>
      </c>
      <c r="B217" s="11" t="s">
        <v>72</v>
      </c>
      <c r="C217" s="11" t="s">
        <v>13</v>
      </c>
      <c r="D217" s="11" t="s">
        <v>88</v>
      </c>
      <c r="E217" s="11" t="s">
        <v>11</v>
      </c>
      <c r="F217" s="17">
        <f>F218</f>
        <v>5182744.36</v>
      </c>
      <c r="G217" s="40"/>
      <c r="H217" s="34"/>
    </row>
    <row r="218" spans="1:8" ht="12.75">
      <c r="A218" s="4" t="s">
        <v>38</v>
      </c>
      <c r="B218" s="11" t="s">
        <v>72</v>
      </c>
      <c r="C218" s="11" t="s">
        <v>13</v>
      </c>
      <c r="D218" s="11" t="s">
        <v>88</v>
      </c>
      <c r="E218" s="11" t="s">
        <v>39</v>
      </c>
      <c r="F218" s="17">
        <v>5182744.36</v>
      </c>
      <c r="G218" s="32"/>
      <c r="H218" s="33"/>
    </row>
    <row r="219" spans="1:8" ht="45">
      <c r="A219" s="4" t="s">
        <v>391</v>
      </c>
      <c r="B219" s="11" t="s">
        <v>72</v>
      </c>
      <c r="C219" s="11" t="s">
        <v>13</v>
      </c>
      <c r="D219" s="11" t="s">
        <v>359</v>
      </c>
      <c r="E219" s="11" t="s">
        <v>11</v>
      </c>
      <c r="F219" s="17">
        <f>F220</f>
        <v>551375.02</v>
      </c>
      <c r="G219" s="32"/>
      <c r="H219" s="33"/>
    </row>
    <row r="220" spans="1:8" s="14" customFormat="1" ht="12.75">
      <c r="A220" s="4" t="s">
        <v>38</v>
      </c>
      <c r="B220" s="51" t="s">
        <v>72</v>
      </c>
      <c r="C220" s="51" t="s">
        <v>13</v>
      </c>
      <c r="D220" s="11" t="s">
        <v>359</v>
      </c>
      <c r="E220" s="51" t="s">
        <v>39</v>
      </c>
      <c r="F220" s="19">
        <v>551375.02</v>
      </c>
      <c r="G220" s="32"/>
      <c r="H220" s="33"/>
    </row>
    <row r="221" spans="1:8" ht="33.75">
      <c r="A221" s="4" t="s">
        <v>398</v>
      </c>
      <c r="B221" s="11" t="s">
        <v>72</v>
      </c>
      <c r="C221" s="11" t="s">
        <v>13</v>
      </c>
      <c r="D221" s="11" t="s">
        <v>151</v>
      </c>
      <c r="E221" s="11" t="s">
        <v>11</v>
      </c>
      <c r="F221" s="17">
        <f>F222</f>
        <v>2176548.06</v>
      </c>
      <c r="G221" s="41"/>
      <c r="H221" s="31"/>
    </row>
    <row r="222" spans="1:8" ht="12.75">
      <c r="A222" s="4" t="s">
        <v>38</v>
      </c>
      <c r="B222" s="11" t="s">
        <v>72</v>
      </c>
      <c r="C222" s="11" t="s">
        <v>13</v>
      </c>
      <c r="D222" s="11" t="s">
        <v>151</v>
      </c>
      <c r="E222" s="11" t="s">
        <v>39</v>
      </c>
      <c r="F222" s="17">
        <v>2176548.06</v>
      </c>
      <c r="G222" s="41"/>
      <c r="H222" s="31"/>
    </row>
    <row r="223" spans="1:8" ht="13.5" customHeight="1">
      <c r="A223" s="6" t="s">
        <v>277</v>
      </c>
      <c r="B223" s="10" t="s">
        <v>72</v>
      </c>
      <c r="C223" s="10" t="s">
        <v>25</v>
      </c>
      <c r="D223" s="10" t="s">
        <v>8</v>
      </c>
      <c r="E223" s="10" t="s">
        <v>11</v>
      </c>
      <c r="F223" s="21">
        <f>F224+F226+F228</f>
        <v>15934651.81</v>
      </c>
      <c r="G223" s="41"/>
      <c r="H223" s="31"/>
    </row>
    <row r="224" spans="1:8" ht="18" customHeight="1">
      <c r="A224" s="4" t="s">
        <v>64</v>
      </c>
      <c r="B224" s="11" t="s">
        <v>72</v>
      </c>
      <c r="C224" s="11" t="s">
        <v>25</v>
      </c>
      <c r="D224" s="11" t="s">
        <v>276</v>
      </c>
      <c r="E224" s="11" t="s">
        <v>11</v>
      </c>
      <c r="F224" s="17">
        <f>F225</f>
        <v>5457824.82</v>
      </c>
      <c r="G224" s="41"/>
      <c r="H224" s="31"/>
    </row>
    <row r="225" spans="1:8" ht="21" customHeight="1">
      <c r="A225" s="4" t="s">
        <v>38</v>
      </c>
      <c r="B225" s="11" t="s">
        <v>72</v>
      </c>
      <c r="C225" s="11" t="s">
        <v>25</v>
      </c>
      <c r="D225" s="11" t="s">
        <v>85</v>
      </c>
      <c r="E225" s="11" t="s">
        <v>39</v>
      </c>
      <c r="F225" s="17">
        <v>5457824.82</v>
      </c>
      <c r="G225" s="41"/>
      <c r="H225" s="31"/>
    </row>
    <row r="226" spans="1:8" s="14" customFormat="1" ht="25.5" customHeight="1">
      <c r="A226" s="28" t="s">
        <v>64</v>
      </c>
      <c r="B226" s="51" t="s">
        <v>72</v>
      </c>
      <c r="C226" s="51" t="s">
        <v>25</v>
      </c>
      <c r="D226" s="51" t="s">
        <v>87</v>
      </c>
      <c r="E226" s="51" t="s">
        <v>11</v>
      </c>
      <c r="F226" s="19">
        <f>F227</f>
        <v>9123854.06</v>
      </c>
      <c r="G226" s="41"/>
      <c r="H226" s="31"/>
    </row>
    <row r="227" spans="1:8" s="14" customFormat="1" ht="12.75">
      <c r="A227" s="28" t="s">
        <v>38</v>
      </c>
      <c r="B227" s="51" t="s">
        <v>72</v>
      </c>
      <c r="C227" s="51" t="s">
        <v>25</v>
      </c>
      <c r="D227" s="51" t="s">
        <v>87</v>
      </c>
      <c r="E227" s="51" t="s">
        <v>39</v>
      </c>
      <c r="F227" s="19">
        <v>9123854.06</v>
      </c>
      <c r="G227" s="41"/>
      <c r="H227" s="31"/>
    </row>
    <row r="228" spans="1:8" s="14" customFormat="1" ht="33.75">
      <c r="A228" s="28" t="s">
        <v>398</v>
      </c>
      <c r="B228" s="51" t="s">
        <v>72</v>
      </c>
      <c r="C228" s="51" t="s">
        <v>25</v>
      </c>
      <c r="D228" s="51" t="s">
        <v>151</v>
      </c>
      <c r="E228" s="51" t="s">
        <v>11</v>
      </c>
      <c r="F228" s="19">
        <f>F229</f>
        <v>1352972.93</v>
      </c>
      <c r="G228" s="41"/>
      <c r="H228" s="31"/>
    </row>
    <row r="229" spans="1:8" s="14" customFormat="1" ht="12.75">
      <c r="A229" s="28" t="s">
        <v>38</v>
      </c>
      <c r="B229" s="51" t="s">
        <v>72</v>
      </c>
      <c r="C229" s="51" t="s">
        <v>25</v>
      </c>
      <c r="D229" s="51" t="s">
        <v>151</v>
      </c>
      <c r="E229" s="51" t="s">
        <v>39</v>
      </c>
      <c r="F229" s="19">
        <v>1352972.93</v>
      </c>
      <c r="G229" s="41"/>
      <c r="H229" s="31"/>
    </row>
    <row r="230" spans="1:8" ht="12.75">
      <c r="A230" s="6" t="s">
        <v>89</v>
      </c>
      <c r="B230" s="10" t="s">
        <v>72</v>
      </c>
      <c r="C230" s="10" t="s">
        <v>55</v>
      </c>
      <c r="D230" s="10" t="s">
        <v>8</v>
      </c>
      <c r="E230" s="10" t="s">
        <v>11</v>
      </c>
      <c r="F230" s="21">
        <f>F233+F231+F235</f>
        <v>1235323.46</v>
      </c>
      <c r="G230" s="41"/>
      <c r="H230" s="31"/>
    </row>
    <row r="231" spans="1:8" ht="22.5">
      <c r="A231" s="4" t="s">
        <v>228</v>
      </c>
      <c r="B231" s="68" t="s">
        <v>72</v>
      </c>
      <c r="C231" s="68" t="s">
        <v>55</v>
      </c>
      <c r="D231" s="68" t="s">
        <v>248</v>
      </c>
      <c r="E231" s="68" t="s">
        <v>11</v>
      </c>
      <c r="F231" s="130">
        <f>F232</f>
        <v>1234.87</v>
      </c>
      <c r="G231" s="41"/>
      <c r="H231" s="31"/>
    </row>
    <row r="232" spans="1:8" ht="12.75">
      <c r="A232" s="28" t="s">
        <v>219</v>
      </c>
      <c r="B232" s="68" t="s">
        <v>72</v>
      </c>
      <c r="C232" s="68" t="s">
        <v>55</v>
      </c>
      <c r="D232" s="68" t="s">
        <v>248</v>
      </c>
      <c r="E232" s="11" t="s">
        <v>203</v>
      </c>
      <c r="F232" s="130">
        <v>1234.87</v>
      </c>
      <c r="G232" s="41"/>
      <c r="H232" s="31"/>
    </row>
    <row r="233" spans="1:8" ht="24" customHeight="1">
      <c r="A233" s="4" t="s">
        <v>237</v>
      </c>
      <c r="B233" s="11" t="s">
        <v>72</v>
      </c>
      <c r="C233" s="11" t="s">
        <v>55</v>
      </c>
      <c r="D233" s="11" t="s">
        <v>278</v>
      </c>
      <c r="E233" s="11" t="s">
        <v>11</v>
      </c>
      <c r="F233" s="17">
        <f>F234</f>
        <v>689534.03</v>
      </c>
      <c r="G233" s="41"/>
      <c r="H233" s="31"/>
    </row>
    <row r="234" spans="1:8" ht="21.75" customHeight="1">
      <c r="A234" s="4" t="s">
        <v>18</v>
      </c>
      <c r="B234" s="11" t="s">
        <v>72</v>
      </c>
      <c r="C234" s="11" t="s">
        <v>55</v>
      </c>
      <c r="D234" s="11" t="s">
        <v>278</v>
      </c>
      <c r="E234" s="11" t="s">
        <v>154</v>
      </c>
      <c r="F234" s="17">
        <f>518533.05+171000.98</f>
        <v>689534.03</v>
      </c>
      <c r="G234" s="40"/>
      <c r="H234" s="34"/>
    </row>
    <row r="235" spans="1:8" s="14" customFormat="1" ht="12.75">
      <c r="A235" s="28" t="s">
        <v>58</v>
      </c>
      <c r="B235" s="51" t="s">
        <v>72</v>
      </c>
      <c r="C235" s="51" t="s">
        <v>55</v>
      </c>
      <c r="D235" s="51" t="s">
        <v>51</v>
      </c>
      <c r="E235" s="51" t="s">
        <v>11</v>
      </c>
      <c r="F235" s="19">
        <f>F236</f>
        <v>544554.56</v>
      </c>
      <c r="G235" s="40"/>
      <c r="H235" s="34"/>
    </row>
    <row r="236" spans="1:8" s="14" customFormat="1" ht="22.5">
      <c r="A236" s="28" t="s">
        <v>237</v>
      </c>
      <c r="B236" s="51" t="s">
        <v>72</v>
      </c>
      <c r="C236" s="51" t="s">
        <v>55</v>
      </c>
      <c r="D236" s="51" t="s">
        <v>51</v>
      </c>
      <c r="E236" s="51" t="s">
        <v>360</v>
      </c>
      <c r="F236" s="19">
        <v>544554.56</v>
      </c>
      <c r="G236" s="40"/>
      <c r="H236" s="34"/>
    </row>
    <row r="237" spans="1:8" ht="22.5">
      <c r="A237" s="6" t="s">
        <v>90</v>
      </c>
      <c r="B237" s="10" t="s">
        <v>72</v>
      </c>
      <c r="C237" s="10" t="s">
        <v>91</v>
      </c>
      <c r="D237" s="10" t="s">
        <v>8</v>
      </c>
      <c r="E237" s="10" t="s">
        <v>11</v>
      </c>
      <c r="F237" s="21">
        <f>F238+F240</f>
        <v>1696578.51</v>
      </c>
      <c r="G237" s="41"/>
      <c r="H237" s="31"/>
    </row>
    <row r="238" spans="1:8" ht="12.75">
      <c r="A238" s="4" t="s">
        <v>64</v>
      </c>
      <c r="B238" s="11" t="s">
        <v>72</v>
      </c>
      <c r="C238" s="11" t="s">
        <v>91</v>
      </c>
      <c r="D238" s="11" t="s">
        <v>80</v>
      </c>
      <c r="E238" s="11" t="s">
        <v>11</v>
      </c>
      <c r="F238" s="17">
        <f>F239</f>
        <v>1696578.51</v>
      </c>
      <c r="G238" s="32"/>
      <c r="H238" s="33"/>
    </row>
    <row r="239" spans="1:8" ht="11.25" customHeight="1">
      <c r="A239" s="4" t="s">
        <v>38</v>
      </c>
      <c r="B239" s="11" t="s">
        <v>72</v>
      </c>
      <c r="C239" s="11" t="s">
        <v>91</v>
      </c>
      <c r="D239" s="11" t="s">
        <v>80</v>
      </c>
      <c r="E239" s="11" t="s">
        <v>39</v>
      </c>
      <c r="F239" s="17">
        <v>1696578.51</v>
      </c>
      <c r="G239" s="32"/>
      <c r="H239" s="33"/>
    </row>
    <row r="240" spans="1:8" ht="12.75" hidden="1">
      <c r="A240" s="4" t="s">
        <v>218</v>
      </c>
      <c r="B240" s="11" t="s">
        <v>72</v>
      </c>
      <c r="C240" s="11" t="s">
        <v>91</v>
      </c>
      <c r="D240" s="11" t="s">
        <v>315</v>
      </c>
      <c r="E240" s="11" t="s">
        <v>11</v>
      </c>
      <c r="F240" s="17">
        <f>F241</f>
        <v>0</v>
      </c>
      <c r="G240" s="32"/>
      <c r="H240" s="33"/>
    </row>
    <row r="241" spans="1:8" ht="22.5" hidden="1">
      <c r="A241" s="4" t="s">
        <v>237</v>
      </c>
      <c r="B241" s="11" t="s">
        <v>72</v>
      </c>
      <c r="C241" s="11" t="s">
        <v>91</v>
      </c>
      <c r="D241" s="11" t="s">
        <v>315</v>
      </c>
      <c r="E241" s="11" t="s">
        <v>360</v>
      </c>
      <c r="F241" s="17"/>
      <c r="G241" s="32"/>
      <c r="H241" s="33"/>
    </row>
    <row r="242" spans="1:8" ht="12.75">
      <c r="A242" s="7" t="s">
        <v>92</v>
      </c>
      <c r="B242" s="9" t="s">
        <v>91</v>
      </c>
      <c r="C242" s="9" t="s">
        <v>10</v>
      </c>
      <c r="D242" s="9" t="s">
        <v>8</v>
      </c>
      <c r="E242" s="9" t="s">
        <v>11</v>
      </c>
      <c r="F242" s="24">
        <f>F243+F246+F251+F302+F311</f>
        <v>171640247.22</v>
      </c>
      <c r="G242" s="40"/>
      <c r="H242" s="34"/>
    </row>
    <row r="243" spans="1:8" ht="12.75">
      <c r="A243" s="6" t="s">
        <v>94</v>
      </c>
      <c r="B243" s="10" t="s">
        <v>91</v>
      </c>
      <c r="C243" s="10" t="s">
        <v>9</v>
      </c>
      <c r="D243" s="10" t="s">
        <v>8</v>
      </c>
      <c r="E243" s="10" t="s">
        <v>11</v>
      </c>
      <c r="F243" s="21">
        <f>F244</f>
        <v>1401375.59</v>
      </c>
      <c r="G243" s="41"/>
      <c r="H243" s="31"/>
    </row>
    <row r="244" spans="1:8" ht="22.5">
      <c r="A244" s="4" t="s">
        <v>399</v>
      </c>
      <c r="B244" s="11" t="s">
        <v>91</v>
      </c>
      <c r="C244" s="11" t="s">
        <v>9</v>
      </c>
      <c r="D244" s="11" t="s">
        <v>93</v>
      </c>
      <c r="E244" s="11" t="s">
        <v>11</v>
      </c>
      <c r="F244" s="17">
        <f>F245</f>
        <v>1401375.59</v>
      </c>
      <c r="G244" s="41"/>
      <c r="H244" s="31"/>
    </row>
    <row r="245" spans="1:8" ht="12.75">
      <c r="A245" s="4" t="s">
        <v>48</v>
      </c>
      <c r="B245" s="11" t="s">
        <v>91</v>
      </c>
      <c r="C245" s="11" t="s">
        <v>9</v>
      </c>
      <c r="D245" s="11" t="s">
        <v>96</v>
      </c>
      <c r="E245" s="11" t="s">
        <v>49</v>
      </c>
      <c r="F245" s="17">
        <v>1401375.59</v>
      </c>
      <c r="G245" s="41"/>
      <c r="H245" s="31"/>
    </row>
    <row r="246" spans="1:8" ht="18" customHeight="1">
      <c r="A246" s="6" t="s">
        <v>97</v>
      </c>
      <c r="B246" s="10" t="s">
        <v>91</v>
      </c>
      <c r="C246" s="10" t="s">
        <v>13</v>
      </c>
      <c r="D246" s="10" t="s">
        <v>8</v>
      </c>
      <c r="E246" s="10" t="s">
        <v>11</v>
      </c>
      <c r="F246" s="21">
        <f>F247+F249</f>
        <v>14333979.77</v>
      </c>
      <c r="G246" s="41"/>
      <c r="H246" s="31"/>
    </row>
    <row r="247" spans="1:8" ht="12.75">
      <c r="A247" s="4" t="s">
        <v>400</v>
      </c>
      <c r="B247" s="11" t="s">
        <v>91</v>
      </c>
      <c r="C247" s="11" t="s">
        <v>13</v>
      </c>
      <c r="D247" s="11" t="s">
        <v>98</v>
      </c>
      <c r="E247" s="11" t="s">
        <v>11</v>
      </c>
      <c r="F247" s="17">
        <f>F248</f>
        <v>55540.85</v>
      </c>
      <c r="G247" s="41"/>
      <c r="H247" s="31"/>
    </row>
    <row r="248" spans="1:8" ht="12.75">
      <c r="A248" s="4" t="s">
        <v>38</v>
      </c>
      <c r="B248" s="11" t="s">
        <v>91</v>
      </c>
      <c r="C248" s="11" t="s">
        <v>13</v>
      </c>
      <c r="D248" s="11" t="s">
        <v>98</v>
      </c>
      <c r="E248" s="11" t="s">
        <v>39</v>
      </c>
      <c r="F248" s="17">
        <v>55540.85</v>
      </c>
      <c r="G248" s="41"/>
      <c r="H248" s="31"/>
    </row>
    <row r="249" spans="1:8" ht="12.75">
      <c r="A249" s="4" t="s">
        <v>401</v>
      </c>
      <c r="B249" s="11" t="s">
        <v>91</v>
      </c>
      <c r="C249" s="11" t="s">
        <v>13</v>
      </c>
      <c r="D249" s="11" t="s">
        <v>361</v>
      </c>
      <c r="E249" s="11" t="s">
        <v>11</v>
      </c>
      <c r="F249" s="17">
        <f>F250</f>
        <v>14278438.92</v>
      </c>
      <c r="G249" s="41"/>
      <c r="H249" s="31"/>
    </row>
    <row r="250" spans="1:8" ht="12.75">
      <c r="A250" s="4" t="s">
        <v>400</v>
      </c>
      <c r="B250" s="11" t="s">
        <v>91</v>
      </c>
      <c r="C250" s="11" t="s">
        <v>13</v>
      </c>
      <c r="D250" s="11" t="s">
        <v>361</v>
      </c>
      <c r="E250" s="11" t="s">
        <v>39</v>
      </c>
      <c r="F250" s="17">
        <f>6664406.22+7614032.7</f>
        <v>14278438.92</v>
      </c>
      <c r="G250" s="41"/>
      <c r="H250" s="31"/>
    </row>
    <row r="251" spans="1:8" ht="12.75">
      <c r="A251" s="6" t="s">
        <v>99</v>
      </c>
      <c r="B251" s="10" t="s">
        <v>91</v>
      </c>
      <c r="C251" s="10" t="s">
        <v>19</v>
      </c>
      <c r="D251" s="10" t="s">
        <v>8</v>
      </c>
      <c r="E251" s="10" t="s">
        <v>11</v>
      </c>
      <c r="F251" s="21">
        <f>F252+F254+F256+F258+F260+F262+F264+F266+F268+F270+F274+F276+F278+F280+F282+F284+F286+F290+F292+F294+F296+F298+F272+F288+F300</f>
        <v>128826916.51</v>
      </c>
      <c r="G251" s="38"/>
      <c r="H251" s="39"/>
    </row>
    <row r="252" spans="1:8" ht="29.25" customHeight="1">
      <c r="A252" s="4" t="s">
        <v>238</v>
      </c>
      <c r="B252" s="13" t="s">
        <v>91</v>
      </c>
      <c r="C252" s="13" t="s">
        <v>19</v>
      </c>
      <c r="D252" s="13" t="s">
        <v>207</v>
      </c>
      <c r="E252" s="13" t="s">
        <v>11</v>
      </c>
      <c r="F252" s="27">
        <f>F253</f>
        <v>2061100</v>
      </c>
      <c r="G252" s="40"/>
      <c r="H252" s="34"/>
    </row>
    <row r="253" spans="1:8" ht="33" customHeight="1">
      <c r="A253" s="4" t="s">
        <v>239</v>
      </c>
      <c r="B253" s="13" t="s">
        <v>91</v>
      </c>
      <c r="C253" s="13" t="s">
        <v>19</v>
      </c>
      <c r="D253" s="13" t="s">
        <v>207</v>
      </c>
      <c r="E253" s="13" t="s">
        <v>208</v>
      </c>
      <c r="F253" s="27">
        <v>2061100</v>
      </c>
      <c r="G253" s="41"/>
      <c r="H253" s="31"/>
    </row>
    <row r="254" spans="1:8" s="14" customFormat="1" ht="12.75">
      <c r="A254" s="28" t="s">
        <v>446</v>
      </c>
      <c r="B254" s="51" t="s">
        <v>91</v>
      </c>
      <c r="C254" s="51" t="s">
        <v>19</v>
      </c>
      <c r="D254" s="51" t="s">
        <v>447</v>
      </c>
      <c r="E254" s="51" t="s">
        <v>11</v>
      </c>
      <c r="F254" s="27">
        <f>F255</f>
        <v>1225107</v>
      </c>
      <c r="G254" s="41"/>
      <c r="H254" s="31"/>
    </row>
    <row r="255" spans="1:8" s="14" customFormat="1" ht="12.75">
      <c r="A255" s="28" t="s">
        <v>445</v>
      </c>
      <c r="B255" s="51" t="s">
        <v>91</v>
      </c>
      <c r="C255" s="51" t="s">
        <v>19</v>
      </c>
      <c r="D255" s="51" t="s">
        <v>447</v>
      </c>
      <c r="E255" s="51" t="s">
        <v>444</v>
      </c>
      <c r="F255" s="27">
        <v>1225107</v>
      </c>
      <c r="G255" s="41"/>
      <c r="H255" s="31"/>
    </row>
    <row r="256" spans="1:8" ht="34.5" customHeight="1">
      <c r="A256" s="4" t="s">
        <v>460</v>
      </c>
      <c r="B256" s="11" t="s">
        <v>91</v>
      </c>
      <c r="C256" s="11" t="s">
        <v>19</v>
      </c>
      <c r="D256" s="11" t="s">
        <v>362</v>
      </c>
      <c r="E256" s="11" t="s">
        <v>11</v>
      </c>
      <c r="F256" s="18">
        <f>F257</f>
        <v>4990799.68</v>
      </c>
      <c r="G256" s="41"/>
      <c r="H256" s="31"/>
    </row>
    <row r="257" spans="1:8" ht="15" customHeight="1">
      <c r="A257" s="4" t="s">
        <v>48</v>
      </c>
      <c r="B257" s="11" t="s">
        <v>91</v>
      </c>
      <c r="C257" s="11" t="s">
        <v>19</v>
      </c>
      <c r="D257" s="11" t="s">
        <v>362</v>
      </c>
      <c r="E257" s="11" t="s">
        <v>49</v>
      </c>
      <c r="F257" s="17">
        <v>4990799.68</v>
      </c>
      <c r="G257" s="41"/>
      <c r="H257" s="31"/>
    </row>
    <row r="258" spans="1:8" ht="33.75">
      <c r="A258" s="4" t="s">
        <v>403</v>
      </c>
      <c r="B258" s="11" t="s">
        <v>91</v>
      </c>
      <c r="C258" s="11" t="s">
        <v>19</v>
      </c>
      <c r="D258" s="11" t="s">
        <v>363</v>
      </c>
      <c r="E258" s="11" t="s">
        <v>11</v>
      </c>
      <c r="F258" s="17">
        <f>F259</f>
        <v>4744221.08</v>
      </c>
      <c r="G258" s="40"/>
      <c r="H258" s="34"/>
    </row>
    <row r="259" spans="1:8" ht="14.25" customHeight="1">
      <c r="A259" s="4" t="s">
        <v>48</v>
      </c>
      <c r="B259" s="11" t="s">
        <v>91</v>
      </c>
      <c r="C259" s="11" t="s">
        <v>19</v>
      </c>
      <c r="D259" s="11" t="s">
        <v>363</v>
      </c>
      <c r="E259" s="11" t="s">
        <v>49</v>
      </c>
      <c r="F259" s="17">
        <v>4744221.08</v>
      </c>
      <c r="G259" s="32"/>
      <c r="H259" s="33"/>
    </row>
    <row r="260" spans="1:8" ht="33.75">
      <c r="A260" s="4" t="s">
        <v>404</v>
      </c>
      <c r="B260" s="11" t="s">
        <v>91</v>
      </c>
      <c r="C260" s="11" t="s">
        <v>19</v>
      </c>
      <c r="D260" s="11" t="s">
        <v>364</v>
      </c>
      <c r="E260" s="11" t="s">
        <v>11</v>
      </c>
      <c r="F260" s="17">
        <f>F261</f>
        <v>19114454.87</v>
      </c>
      <c r="G260" s="32"/>
      <c r="H260" s="33"/>
    </row>
    <row r="261" spans="1:8" ht="15.75" customHeight="1">
      <c r="A261" s="4" t="s">
        <v>48</v>
      </c>
      <c r="B261" s="11" t="s">
        <v>91</v>
      </c>
      <c r="C261" s="11" t="s">
        <v>19</v>
      </c>
      <c r="D261" s="11" t="s">
        <v>364</v>
      </c>
      <c r="E261" s="11" t="s">
        <v>49</v>
      </c>
      <c r="F261" s="17">
        <v>19114454.87</v>
      </c>
      <c r="G261" s="32"/>
      <c r="H261" s="33"/>
    </row>
    <row r="262" spans="1:8" ht="36.75" customHeight="1">
      <c r="A262" s="4" t="s">
        <v>175</v>
      </c>
      <c r="B262" s="11" t="s">
        <v>91</v>
      </c>
      <c r="C262" s="11" t="s">
        <v>19</v>
      </c>
      <c r="D262" s="11" t="s">
        <v>365</v>
      </c>
      <c r="E262" s="11" t="s">
        <v>11</v>
      </c>
      <c r="F262" s="17">
        <f>F263</f>
        <v>166583.14</v>
      </c>
      <c r="G262" s="32"/>
      <c r="H262" s="33"/>
    </row>
    <row r="263" spans="1:8" ht="15.75" customHeight="1">
      <c r="A263" s="4" t="s">
        <v>48</v>
      </c>
      <c r="B263" s="11" t="s">
        <v>91</v>
      </c>
      <c r="C263" s="11" t="s">
        <v>19</v>
      </c>
      <c r="D263" s="11" t="s">
        <v>365</v>
      </c>
      <c r="E263" s="11" t="s">
        <v>49</v>
      </c>
      <c r="F263" s="17">
        <v>166583.14</v>
      </c>
      <c r="G263" s="32"/>
      <c r="H263" s="33"/>
    </row>
    <row r="264" spans="1:8" ht="25.5" customHeight="1">
      <c r="A264" s="4" t="s">
        <v>177</v>
      </c>
      <c r="B264" s="11" t="s">
        <v>91</v>
      </c>
      <c r="C264" s="11" t="s">
        <v>19</v>
      </c>
      <c r="D264" s="11" t="s">
        <v>366</v>
      </c>
      <c r="E264" s="11" t="s">
        <v>11</v>
      </c>
      <c r="F264" s="17">
        <f>F265</f>
        <v>2420610.7</v>
      </c>
      <c r="G264" s="41"/>
      <c r="H264" s="33"/>
    </row>
    <row r="265" spans="1:8" ht="12.75">
      <c r="A265" s="4" t="s">
        <v>48</v>
      </c>
      <c r="B265" s="11" t="s">
        <v>91</v>
      </c>
      <c r="C265" s="11" t="s">
        <v>19</v>
      </c>
      <c r="D265" s="11" t="s">
        <v>366</v>
      </c>
      <c r="E265" s="11" t="s">
        <v>49</v>
      </c>
      <c r="F265" s="17">
        <v>2420610.7</v>
      </c>
      <c r="G265" s="41"/>
      <c r="H265" s="31"/>
    </row>
    <row r="266" spans="1:8" ht="56.25">
      <c r="A266" s="4" t="s">
        <v>180</v>
      </c>
      <c r="B266" s="11" t="s">
        <v>91</v>
      </c>
      <c r="C266" s="11" t="s">
        <v>19</v>
      </c>
      <c r="D266" s="11" t="s">
        <v>178</v>
      </c>
      <c r="E266" s="11" t="s">
        <v>11</v>
      </c>
      <c r="F266" s="17">
        <f>F267</f>
        <v>732360</v>
      </c>
      <c r="G266" s="41"/>
      <c r="H266" s="31"/>
    </row>
    <row r="267" spans="1:8" ht="12.75">
      <c r="A267" s="4" t="s">
        <v>48</v>
      </c>
      <c r="B267" s="11" t="s">
        <v>91</v>
      </c>
      <c r="C267" s="11" t="s">
        <v>19</v>
      </c>
      <c r="D267" s="11" t="s">
        <v>178</v>
      </c>
      <c r="E267" s="11" t="s">
        <v>101</v>
      </c>
      <c r="F267" s="17">
        <v>732360</v>
      </c>
      <c r="G267" s="41"/>
      <c r="H267" s="31"/>
    </row>
    <row r="268" spans="1:8" ht="24" customHeight="1">
      <c r="A268" s="4" t="s">
        <v>181</v>
      </c>
      <c r="B268" s="11" t="s">
        <v>91</v>
      </c>
      <c r="C268" s="11" t="s">
        <v>19</v>
      </c>
      <c r="D268" s="11" t="s">
        <v>100</v>
      </c>
      <c r="E268" s="11" t="s">
        <v>11</v>
      </c>
      <c r="F268" s="17">
        <f>F269</f>
        <v>1542763.11</v>
      </c>
      <c r="G268" s="41"/>
      <c r="H268" s="31"/>
    </row>
    <row r="269" spans="1:8" ht="12.75">
      <c r="A269" s="4" t="s">
        <v>48</v>
      </c>
      <c r="B269" s="11" t="s">
        <v>91</v>
      </c>
      <c r="C269" s="11" t="s">
        <v>19</v>
      </c>
      <c r="D269" s="11" t="s">
        <v>100</v>
      </c>
      <c r="E269" s="11" t="s">
        <v>101</v>
      </c>
      <c r="F269" s="17">
        <v>1542763.11</v>
      </c>
      <c r="G269" s="41"/>
      <c r="H269" s="31"/>
    </row>
    <row r="270" spans="1:8" ht="22.5">
      <c r="A270" s="4" t="s">
        <v>281</v>
      </c>
      <c r="B270" s="11" t="s">
        <v>91</v>
      </c>
      <c r="C270" s="11" t="s">
        <v>19</v>
      </c>
      <c r="D270" s="11" t="s">
        <v>282</v>
      </c>
      <c r="E270" s="11" t="s">
        <v>11</v>
      </c>
      <c r="F270" s="17">
        <f>F271</f>
        <v>4414500</v>
      </c>
      <c r="G270" s="41"/>
      <c r="H270" s="31"/>
    </row>
    <row r="271" spans="1:8" ht="12.75">
      <c r="A271" s="4" t="s">
        <v>48</v>
      </c>
      <c r="B271" s="11" t="s">
        <v>91</v>
      </c>
      <c r="C271" s="11" t="s">
        <v>19</v>
      </c>
      <c r="D271" s="11" t="s">
        <v>282</v>
      </c>
      <c r="E271" s="11" t="s">
        <v>49</v>
      </c>
      <c r="F271" s="17">
        <v>4414500</v>
      </c>
      <c r="G271" s="41"/>
      <c r="H271" s="31"/>
    </row>
    <row r="272" spans="1:8" s="14" customFormat="1" ht="33.75">
      <c r="A272" s="28" t="s">
        <v>438</v>
      </c>
      <c r="B272" s="51" t="s">
        <v>91</v>
      </c>
      <c r="C272" s="51" t="s">
        <v>19</v>
      </c>
      <c r="D272" s="51" t="s">
        <v>430</v>
      </c>
      <c r="E272" s="51" t="s">
        <v>11</v>
      </c>
      <c r="F272" s="19">
        <f>F273</f>
        <v>2766.84</v>
      </c>
      <c r="G272" s="41"/>
      <c r="H272" s="31"/>
    </row>
    <row r="273" spans="1:8" s="14" customFormat="1" ht="12.75">
      <c r="A273" s="28" t="s">
        <v>48</v>
      </c>
      <c r="B273" s="51" t="s">
        <v>91</v>
      </c>
      <c r="C273" s="51" t="s">
        <v>19</v>
      </c>
      <c r="D273" s="51" t="s">
        <v>430</v>
      </c>
      <c r="E273" s="51" t="s">
        <v>49</v>
      </c>
      <c r="F273" s="19">
        <v>2766.84</v>
      </c>
      <c r="G273" s="41"/>
      <c r="H273" s="31"/>
    </row>
    <row r="274" spans="1:8" ht="22.5">
      <c r="A274" s="4" t="s">
        <v>405</v>
      </c>
      <c r="B274" s="11" t="s">
        <v>91</v>
      </c>
      <c r="C274" s="11" t="s">
        <v>19</v>
      </c>
      <c r="D274" s="11" t="s">
        <v>107</v>
      </c>
      <c r="E274" s="11" t="s">
        <v>11</v>
      </c>
      <c r="F274" s="17">
        <f>F275</f>
        <v>15722082.33</v>
      </c>
      <c r="G274" s="41"/>
      <c r="H274" s="31"/>
    </row>
    <row r="275" spans="1:8" ht="12.75">
      <c r="A275" s="4" t="s">
        <v>48</v>
      </c>
      <c r="B275" s="11" t="s">
        <v>91</v>
      </c>
      <c r="C275" s="11" t="s">
        <v>19</v>
      </c>
      <c r="D275" s="11" t="s">
        <v>107</v>
      </c>
      <c r="E275" s="11" t="s">
        <v>49</v>
      </c>
      <c r="F275" s="17">
        <v>15722082.33</v>
      </c>
      <c r="G275" s="41"/>
      <c r="H275" s="31"/>
    </row>
    <row r="276" spans="1:8" ht="22.5">
      <c r="A276" s="4" t="s">
        <v>406</v>
      </c>
      <c r="B276" s="11" t="s">
        <v>91</v>
      </c>
      <c r="C276" s="11" t="s">
        <v>19</v>
      </c>
      <c r="D276" s="11" t="s">
        <v>252</v>
      </c>
      <c r="E276" s="11" t="s">
        <v>11</v>
      </c>
      <c r="F276" s="17">
        <f>F277</f>
        <v>11058972.71</v>
      </c>
      <c r="G276" s="41"/>
      <c r="H276" s="31"/>
    </row>
    <row r="277" spans="1:8" ht="12.75">
      <c r="A277" s="4" t="s">
        <v>48</v>
      </c>
      <c r="B277" s="11" t="s">
        <v>91</v>
      </c>
      <c r="C277" s="11" t="s">
        <v>19</v>
      </c>
      <c r="D277" s="11" t="s">
        <v>252</v>
      </c>
      <c r="E277" s="11" t="s">
        <v>49</v>
      </c>
      <c r="F277" s="17">
        <v>11058972.71</v>
      </c>
      <c r="G277" s="41"/>
      <c r="H277" s="31"/>
    </row>
    <row r="278" spans="1:8" ht="12.75">
      <c r="A278" s="4" t="s">
        <v>407</v>
      </c>
      <c r="B278" s="11" t="s">
        <v>91</v>
      </c>
      <c r="C278" s="11" t="s">
        <v>19</v>
      </c>
      <c r="D278" s="11" t="s">
        <v>367</v>
      </c>
      <c r="E278" s="11" t="s">
        <v>11</v>
      </c>
      <c r="F278" s="19">
        <f>F279</f>
        <v>19342733.7</v>
      </c>
      <c r="G278" s="41"/>
      <c r="H278" s="31"/>
    </row>
    <row r="279" spans="1:8" ht="12.75">
      <c r="A279" s="4" t="s">
        <v>48</v>
      </c>
      <c r="B279" s="11" t="s">
        <v>91</v>
      </c>
      <c r="C279" s="11" t="s">
        <v>19</v>
      </c>
      <c r="D279" s="11" t="s">
        <v>367</v>
      </c>
      <c r="E279" s="11" t="s">
        <v>49</v>
      </c>
      <c r="F279" s="19">
        <v>19342733.7</v>
      </c>
      <c r="G279" s="41"/>
      <c r="H279" s="31"/>
    </row>
    <row r="280" spans="1:8" ht="27.75" customHeight="1">
      <c r="A280" s="4" t="s">
        <v>408</v>
      </c>
      <c r="B280" s="11" t="s">
        <v>91</v>
      </c>
      <c r="C280" s="11" t="s">
        <v>19</v>
      </c>
      <c r="D280" s="11" t="s">
        <v>368</v>
      </c>
      <c r="E280" s="11" t="s">
        <v>11</v>
      </c>
      <c r="F280" s="19">
        <f>F281</f>
        <v>7619297.74</v>
      </c>
      <c r="G280" s="41"/>
      <c r="H280" s="31"/>
    </row>
    <row r="281" spans="1:8" ht="12.75">
      <c r="A281" s="4" t="s">
        <v>48</v>
      </c>
      <c r="B281" s="11" t="s">
        <v>91</v>
      </c>
      <c r="C281" s="11" t="s">
        <v>19</v>
      </c>
      <c r="D281" s="11" t="s">
        <v>368</v>
      </c>
      <c r="E281" s="11" t="s">
        <v>49</v>
      </c>
      <c r="F281" s="19">
        <v>7619297.74</v>
      </c>
      <c r="G281" s="41"/>
      <c r="H281" s="31"/>
    </row>
    <row r="282" spans="1:8" ht="25.5" customHeight="1">
      <c r="A282" s="4" t="s">
        <v>409</v>
      </c>
      <c r="B282" s="11" t="s">
        <v>91</v>
      </c>
      <c r="C282" s="11" t="s">
        <v>19</v>
      </c>
      <c r="D282" s="11" t="s">
        <v>369</v>
      </c>
      <c r="E282" s="11" t="s">
        <v>11</v>
      </c>
      <c r="F282" s="19">
        <f>F283</f>
        <v>9769354.76</v>
      </c>
      <c r="G282" s="41"/>
      <c r="H282" s="31"/>
    </row>
    <row r="283" spans="1:8" s="14" customFormat="1" ht="12.75">
      <c r="A283" s="4" t="s">
        <v>48</v>
      </c>
      <c r="B283" s="51" t="s">
        <v>91</v>
      </c>
      <c r="C283" s="51" t="s">
        <v>19</v>
      </c>
      <c r="D283" s="11" t="s">
        <v>369</v>
      </c>
      <c r="E283" s="51" t="s">
        <v>49</v>
      </c>
      <c r="F283" s="19">
        <v>9769354.76</v>
      </c>
      <c r="G283" s="41"/>
      <c r="H283" s="31"/>
    </row>
    <row r="284" spans="1:8" ht="22.5">
      <c r="A284" s="4" t="s">
        <v>410</v>
      </c>
      <c r="B284" s="11" t="s">
        <v>91</v>
      </c>
      <c r="C284" s="11" t="s">
        <v>19</v>
      </c>
      <c r="D284" s="11" t="s">
        <v>370</v>
      </c>
      <c r="E284" s="11" t="s">
        <v>11</v>
      </c>
      <c r="F284" s="19">
        <f>F285</f>
        <v>605595.22</v>
      </c>
      <c r="G284" s="41"/>
      <c r="H284" s="31"/>
    </row>
    <row r="285" spans="1:8" ht="12.75">
      <c r="A285" s="4" t="s">
        <v>48</v>
      </c>
      <c r="B285" s="11" t="s">
        <v>91</v>
      </c>
      <c r="C285" s="11" t="s">
        <v>19</v>
      </c>
      <c r="D285" s="11" t="s">
        <v>370</v>
      </c>
      <c r="E285" s="11" t="s">
        <v>49</v>
      </c>
      <c r="F285" s="19">
        <v>605595.22</v>
      </c>
      <c r="G285" s="41"/>
      <c r="H285" s="31"/>
    </row>
    <row r="286" spans="1:8" ht="22.5">
      <c r="A286" s="66" t="s">
        <v>411</v>
      </c>
      <c r="B286" s="11" t="s">
        <v>91</v>
      </c>
      <c r="C286" s="11" t="s">
        <v>19</v>
      </c>
      <c r="D286" s="11" t="s">
        <v>371</v>
      </c>
      <c r="E286" s="11" t="s">
        <v>11</v>
      </c>
      <c r="F286" s="19">
        <f>F287</f>
        <v>1167952.63</v>
      </c>
      <c r="G286" s="41"/>
      <c r="H286" s="31"/>
    </row>
    <row r="287" spans="1:8" ht="12.75">
      <c r="A287" s="4" t="s">
        <v>48</v>
      </c>
      <c r="B287" s="11" t="s">
        <v>91</v>
      </c>
      <c r="C287" s="11" t="s">
        <v>19</v>
      </c>
      <c r="D287" s="11" t="s">
        <v>371</v>
      </c>
      <c r="E287" s="11" t="s">
        <v>49</v>
      </c>
      <c r="F287" s="19">
        <v>1167952.63</v>
      </c>
      <c r="G287" s="41"/>
      <c r="H287" s="31"/>
    </row>
    <row r="288" spans="1:8" s="14" customFormat="1" ht="22.5">
      <c r="A288" s="28" t="s">
        <v>440</v>
      </c>
      <c r="B288" s="51" t="s">
        <v>91</v>
      </c>
      <c r="C288" s="51" t="s">
        <v>19</v>
      </c>
      <c r="D288" s="51" t="s">
        <v>431</v>
      </c>
      <c r="E288" s="51" t="s">
        <v>11</v>
      </c>
      <c r="F288" s="19">
        <f>F289</f>
        <v>183600</v>
      </c>
      <c r="G288" s="41"/>
      <c r="H288" s="31"/>
    </row>
    <row r="289" spans="1:8" s="14" customFormat="1" ht="12.75">
      <c r="A289" s="28" t="s">
        <v>437</v>
      </c>
      <c r="B289" s="51" t="s">
        <v>91</v>
      </c>
      <c r="C289" s="51" t="s">
        <v>19</v>
      </c>
      <c r="D289" s="51" t="s">
        <v>431</v>
      </c>
      <c r="E289" s="51" t="s">
        <v>432</v>
      </c>
      <c r="F289" s="19">
        <v>183600</v>
      </c>
      <c r="G289" s="41"/>
      <c r="H289" s="31"/>
    </row>
    <row r="290" spans="1:8" ht="12.75">
      <c r="A290" s="4" t="s">
        <v>240</v>
      </c>
      <c r="B290" s="11" t="s">
        <v>91</v>
      </c>
      <c r="C290" s="11" t="s">
        <v>19</v>
      </c>
      <c r="D290" s="11" t="s">
        <v>110</v>
      </c>
      <c r="E290" s="11" t="s">
        <v>11</v>
      </c>
      <c r="F290" s="19">
        <f>F291</f>
        <v>1071338</v>
      </c>
      <c r="G290" s="41"/>
      <c r="H290" s="31"/>
    </row>
    <row r="291" spans="1:8" ht="15.75" customHeight="1">
      <c r="A291" s="4" t="s">
        <v>48</v>
      </c>
      <c r="B291" s="11" t="s">
        <v>91</v>
      </c>
      <c r="C291" s="11" t="s">
        <v>19</v>
      </c>
      <c r="D291" s="11" t="s">
        <v>110</v>
      </c>
      <c r="E291" s="11" t="s">
        <v>49</v>
      </c>
      <c r="F291" s="19">
        <f>1051338+20000</f>
        <v>1071338</v>
      </c>
      <c r="G291" s="41"/>
      <c r="H291" s="31"/>
    </row>
    <row r="292" spans="1:8" ht="12.75">
      <c r="A292" s="4" t="s">
        <v>240</v>
      </c>
      <c r="B292" s="11" t="s">
        <v>91</v>
      </c>
      <c r="C292" s="11" t="s">
        <v>19</v>
      </c>
      <c r="D292" s="11" t="s">
        <v>110</v>
      </c>
      <c r="E292" s="11" t="s">
        <v>11</v>
      </c>
      <c r="F292" s="19">
        <f>F293</f>
        <v>901817</v>
      </c>
      <c r="G292" s="41"/>
      <c r="H292" s="31"/>
    </row>
    <row r="293" spans="1:8" ht="14.25" customHeight="1">
      <c r="A293" s="4" t="s">
        <v>330</v>
      </c>
      <c r="B293" s="11" t="s">
        <v>91</v>
      </c>
      <c r="C293" s="11" t="s">
        <v>19</v>
      </c>
      <c r="D293" s="11" t="s">
        <v>110</v>
      </c>
      <c r="E293" s="11" t="s">
        <v>283</v>
      </c>
      <c r="F293" s="19">
        <v>901817</v>
      </c>
      <c r="G293" s="41"/>
      <c r="H293" s="31"/>
    </row>
    <row r="294" spans="1:8" ht="24" customHeight="1">
      <c r="A294" s="4" t="s">
        <v>301</v>
      </c>
      <c r="B294" s="11" t="s">
        <v>91</v>
      </c>
      <c r="C294" s="11" t="s">
        <v>19</v>
      </c>
      <c r="D294" s="11" t="s">
        <v>300</v>
      </c>
      <c r="E294" s="11" t="s">
        <v>11</v>
      </c>
      <c r="F294" s="19">
        <f>F295</f>
        <v>14970501</v>
      </c>
      <c r="G294" s="41"/>
      <c r="H294" s="31"/>
    </row>
    <row r="295" spans="1:8" ht="12.75">
      <c r="A295" s="4" t="s">
        <v>240</v>
      </c>
      <c r="B295" s="11" t="s">
        <v>91</v>
      </c>
      <c r="C295" s="11" t="s">
        <v>19</v>
      </c>
      <c r="D295" s="11" t="s">
        <v>300</v>
      </c>
      <c r="E295" s="11" t="s">
        <v>209</v>
      </c>
      <c r="F295" s="19">
        <v>14970501</v>
      </c>
      <c r="G295" s="41"/>
      <c r="H295" s="31"/>
    </row>
    <row r="296" spans="1:8" ht="22.5">
      <c r="A296" s="4" t="s">
        <v>331</v>
      </c>
      <c r="B296" s="11" t="s">
        <v>91</v>
      </c>
      <c r="C296" s="11" t="s">
        <v>19</v>
      </c>
      <c r="D296" s="11" t="s">
        <v>315</v>
      </c>
      <c r="E296" s="11" t="s">
        <v>11</v>
      </c>
      <c r="F296" s="19">
        <f>F297</f>
        <v>2741400</v>
      </c>
      <c r="G296" s="41"/>
      <c r="H296" s="31"/>
    </row>
    <row r="297" spans="1:8" ht="12.75">
      <c r="A297" s="4" t="s">
        <v>240</v>
      </c>
      <c r="B297" s="11" t="s">
        <v>91</v>
      </c>
      <c r="C297" s="11" t="s">
        <v>19</v>
      </c>
      <c r="D297" s="11" t="s">
        <v>315</v>
      </c>
      <c r="E297" s="11" t="s">
        <v>209</v>
      </c>
      <c r="F297" s="19">
        <v>2741400</v>
      </c>
      <c r="G297" s="41"/>
      <c r="H297" s="31"/>
    </row>
    <row r="298" spans="1:8" ht="12.75">
      <c r="A298" s="4" t="s">
        <v>58</v>
      </c>
      <c r="B298" s="11" t="s">
        <v>91</v>
      </c>
      <c r="C298" s="11" t="s">
        <v>19</v>
      </c>
      <c r="D298" s="11" t="s">
        <v>51</v>
      </c>
      <c r="E298" s="11" t="s">
        <v>11</v>
      </c>
      <c r="F298" s="19">
        <f>F299</f>
        <v>2253005</v>
      </c>
      <c r="G298" s="41"/>
      <c r="H298" s="31"/>
    </row>
    <row r="299" spans="1:8" ht="12.75">
      <c r="A299" s="4" t="s">
        <v>240</v>
      </c>
      <c r="B299" s="11" t="s">
        <v>91</v>
      </c>
      <c r="C299" s="11" t="s">
        <v>19</v>
      </c>
      <c r="D299" s="11" t="s">
        <v>152</v>
      </c>
      <c r="E299" s="11" t="s">
        <v>209</v>
      </c>
      <c r="F299" s="19">
        <v>2253005</v>
      </c>
      <c r="G299" s="41"/>
      <c r="H299" s="31"/>
    </row>
    <row r="300" spans="1:8" s="14" customFormat="1" ht="12.75">
      <c r="A300" s="28" t="s">
        <v>58</v>
      </c>
      <c r="B300" s="51" t="s">
        <v>91</v>
      </c>
      <c r="C300" s="51" t="s">
        <v>19</v>
      </c>
      <c r="D300" s="51" t="s">
        <v>51</v>
      </c>
      <c r="E300" s="51" t="s">
        <v>11</v>
      </c>
      <c r="F300" s="19">
        <f>F301</f>
        <v>4000</v>
      </c>
      <c r="G300" s="41"/>
      <c r="H300" s="31"/>
    </row>
    <row r="301" spans="1:8" s="14" customFormat="1" ht="12.75">
      <c r="A301" s="28" t="s">
        <v>18</v>
      </c>
      <c r="B301" s="51" t="s">
        <v>91</v>
      </c>
      <c r="C301" s="51" t="s">
        <v>19</v>
      </c>
      <c r="D301" s="51" t="s">
        <v>51</v>
      </c>
      <c r="E301" s="51" t="s">
        <v>154</v>
      </c>
      <c r="F301" s="19">
        <v>4000</v>
      </c>
      <c r="G301" s="41"/>
      <c r="H301" s="31"/>
    </row>
    <row r="302" spans="1:8" ht="12.75">
      <c r="A302" s="6" t="s">
        <v>112</v>
      </c>
      <c r="B302" s="10" t="s">
        <v>91</v>
      </c>
      <c r="C302" s="10" t="s">
        <v>25</v>
      </c>
      <c r="D302" s="10" t="s">
        <v>8</v>
      </c>
      <c r="E302" s="10" t="s">
        <v>11</v>
      </c>
      <c r="F302" s="21">
        <f>F303+F305+F307+F309</f>
        <v>14869997.22</v>
      </c>
      <c r="G302" s="41"/>
      <c r="H302" s="31"/>
    </row>
    <row r="303" spans="1:8" ht="42.75" customHeight="1">
      <c r="A303" s="4" t="s">
        <v>242</v>
      </c>
      <c r="B303" s="11" t="s">
        <v>91</v>
      </c>
      <c r="C303" s="11" t="s">
        <v>25</v>
      </c>
      <c r="D303" s="11" t="s">
        <v>372</v>
      </c>
      <c r="E303" s="11" t="s">
        <v>11</v>
      </c>
      <c r="F303" s="17">
        <f>F304</f>
        <v>2186694.13</v>
      </c>
      <c r="G303" s="41"/>
      <c r="H303" s="31"/>
    </row>
    <row r="304" spans="1:8" ht="15" customHeight="1">
      <c r="A304" s="4" t="s">
        <v>48</v>
      </c>
      <c r="B304" s="11" t="s">
        <v>91</v>
      </c>
      <c r="C304" s="11" t="s">
        <v>25</v>
      </c>
      <c r="D304" s="11" t="s">
        <v>372</v>
      </c>
      <c r="E304" s="11" t="s">
        <v>49</v>
      </c>
      <c r="F304" s="17">
        <v>2186694.13</v>
      </c>
      <c r="G304" s="41"/>
      <c r="H304" s="31"/>
    </row>
    <row r="305" spans="1:8" ht="22.5">
      <c r="A305" s="4" t="s">
        <v>412</v>
      </c>
      <c r="B305" s="11" t="s">
        <v>91</v>
      </c>
      <c r="C305" s="11" t="s">
        <v>25</v>
      </c>
      <c r="D305" s="11" t="s">
        <v>373</v>
      </c>
      <c r="E305" s="11" t="s">
        <v>11</v>
      </c>
      <c r="F305" s="17">
        <f>F306</f>
        <v>1339223.65</v>
      </c>
      <c r="G305" s="41"/>
      <c r="H305" s="31"/>
    </row>
    <row r="306" spans="1:8" ht="46.5" customHeight="1">
      <c r="A306" s="4" t="s">
        <v>186</v>
      </c>
      <c r="B306" s="11" t="s">
        <v>91</v>
      </c>
      <c r="C306" s="11" t="s">
        <v>25</v>
      </c>
      <c r="D306" s="11" t="s">
        <v>373</v>
      </c>
      <c r="E306" s="11" t="s">
        <v>185</v>
      </c>
      <c r="F306" s="17">
        <v>1339223.65</v>
      </c>
      <c r="G306" s="41"/>
      <c r="H306" s="31"/>
    </row>
    <row r="307" spans="1:8" ht="22.5">
      <c r="A307" s="4" t="s">
        <v>413</v>
      </c>
      <c r="B307" s="11" t="s">
        <v>91</v>
      </c>
      <c r="C307" s="11" t="s">
        <v>25</v>
      </c>
      <c r="D307" s="11" t="s">
        <v>374</v>
      </c>
      <c r="E307" s="11" t="s">
        <v>11</v>
      </c>
      <c r="F307" s="17">
        <f>F308</f>
        <v>1181995.31</v>
      </c>
      <c r="G307" s="41"/>
      <c r="H307" s="31"/>
    </row>
    <row r="308" spans="1:8" ht="54" customHeight="1">
      <c r="A308" s="4" t="s">
        <v>186</v>
      </c>
      <c r="B308" s="11" t="s">
        <v>91</v>
      </c>
      <c r="C308" s="11" t="s">
        <v>25</v>
      </c>
      <c r="D308" s="11" t="s">
        <v>374</v>
      </c>
      <c r="E308" s="11" t="s">
        <v>185</v>
      </c>
      <c r="F308" s="17">
        <v>1181995.31</v>
      </c>
      <c r="G308" s="41"/>
      <c r="H308" s="31"/>
    </row>
    <row r="309" spans="1:8" ht="22.5">
      <c r="A309" s="4" t="s">
        <v>414</v>
      </c>
      <c r="B309" s="11" t="s">
        <v>91</v>
      </c>
      <c r="C309" s="11" t="s">
        <v>25</v>
      </c>
      <c r="D309" s="11" t="s">
        <v>375</v>
      </c>
      <c r="E309" s="11" t="s">
        <v>11</v>
      </c>
      <c r="F309" s="17">
        <f>F310</f>
        <v>10162084.13</v>
      </c>
      <c r="G309" s="41"/>
      <c r="H309" s="31"/>
    </row>
    <row r="310" spans="1:8" ht="47.25" customHeight="1">
      <c r="A310" s="4" t="s">
        <v>186</v>
      </c>
      <c r="B310" s="11" t="s">
        <v>91</v>
      </c>
      <c r="C310" s="11" t="s">
        <v>25</v>
      </c>
      <c r="D310" s="11" t="s">
        <v>375</v>
      </c>
      <c r="E310" s="11" t="s">
        <v>185</v>
      </c>
      <c r="F310" s="17">
        <v>10162084.13</v>
      </c>
      <c r="G310" s="41"/>
      <c r="H310" s="31"/>
    </row>
    <row r="311" spans="1:8" ht="12.75">
      <c r="A311" s="6" t="s">
        <v>111</v>
      </c>
      <c r="B311" s="10" t="s">
        <v>91</v>
      </c>
      <c r="C311" s="10" t="s">
        <v>31</v>
      </c>
      <c r="D311" s="10" t="s">
        <v>8</v>
      </c>
      <c r="E311" s="10" t="s">
        <v>11</v>
      </c>
      <c r="F311" s="21">
        <f>F312+F314+F316+F318</f>
        <v>12207978.13</v>
      </c>
      <c r="G311" s="41"/>
      <c r="H311" s="31"/>
    </row>
    <row r="312" spans="1:8" ht="12.75">
      <c r="A312" s="4" t="s">
        <v>20</v>
      </c>
      <c r="B312" s="11" t="s">
        <v>91</v>
      </c>
      <c r="C312" s="11" t="s">
        <v>31</v>
      </c>
      <c r="D312" s="11" t="s">
        <v>125</v>
      </c>
      <c r="E312" s="11" t="s">
        <v>11</v>
      </c>
      <c r="F312" s="17">
        <f>F313</f>
        <v>140800</v>
      </c>
      <c r="G312" s="40"/>
      <c r="H312" s="34"/>
    </row>
    <row r="313" spans="1:8" ht="12.75">
      <c r="A313" s="4" t="s">
        <v>18</v>
      </c>
      <c r="B313" s="11" t="s">
        <v>91</v>
      </c>
      <c r="C313" s="11" t="s">
        <v>31</v>
      </c>
      <c r="D313" s="11" t="s">
        <v>125</v>
      </c>
      <c r="E313" s="11" t="s">
        <v>154</v>
      </c>
      <c r="F313" s="17">
        <v>140800</v>
      </c>
      <c r="G313" s="41"/>
      <c r="H313" s="31"/>
    </row>
    <row r="314" spans="1:8" ht="24" customHeight="1">
      <c r="A314" s="4" t="s">
        <v>188</v>
      </c>
      <c r="B314" s="11" t="s">
        <v>91</v>
      </c>
      <c r="C314" s="11" t="s">
        <v>31</v>
      </c>
      <c r="D314" s="11" t="s">
        <v>187</v>
      </c>
      <c r="E314" s="11" t="s">
        <v>11</v>
      </c>
      <c r="F314" s="17">
        <f>F315</f>
        <v>2924729.91</v>
      </c>
      <c r="G314" s="41"/>
      <c r="H314" s="31"/>
    </row>
    <row r="315" spans="1:8" ht="12.75">
      <c r="A315" s="4" t="s">
        <v>18</v>
      </c>
      <c r="B315" s="11" t="s">
        <v>91</v>
      </c>
      <c r="C315" s="11" t="s">
        <v>31</v>
      </c>
      <c r="D315" s="11" t="s">
        <v>187</v>
      </c>
      <c r="E315" s="11" t="s">
        <v>154</v>
      </c>
      <c r="F315" s="17">
        <v>2924729.91</v>
      </c>
      <c r="G315" s="41"/>
      <c r="H315" s="31"/>
    </row>
    <row r="316" spans="1:8" ht="22.5">
      <c r="A316" s="4" t="s">
        <v>380</v>
      </c>
      <c r="B316" s="11" t="s">
        <v>91</v>
      </c>
      <c r="C316" s="11" t="s">
        <v>31</v>
      </c>
      <c r="D316" s="11" t="s">
        <v>194</v>
      </c>
      <c r="E316" s="11" t="s">
        <v>11</v>
      </c>
      <c r="F316" s="17">
        <f>F317</f>
        <v>7604882.17</v>
      </c>
      <c r="G316" s="41"/>
      <c r="H316" s="31"/>
    </row>
    <row r="317" spans="1:8" ht="23.25" customHeight="1">
      <c r="A317" s="4" t="s">
        <v>18</v>
      </c>
      <c r="B317" s="11" t="s">
        <v>91</v>
      </c>
      <c r="C317" s="11" t="s">
        <v>31</v>
      </c>
      <c r="D317" s="11" t="s">
        <v>194</v>
      </c>
      <c r="E317" s="11" t="s">
        <v>154</v>
      </c>
      <c r="F317" s="17">
        <v>7604882.17</v>
      </c>
      <c r="G317" s="41"/>
      <c r="H317" s="31"/>
    </row>
    <row r="318" spans="1:8" ht="33.75">
      <c r="A318" s="4" t="s">
        <v>415</v>
      </c>
      <c r="B318" s="11" t="s">
        <v>91</v>
      </c>
      <c r="C318" s="11" t="s">
        <v>31</v>
      </c>
      <c r="D318" s="11" t="s">
        <v>376</v>
      </c>
      <c r="E318" s="11" t="s">
        <v>11</v>
      </c>
      <c r="F318" s="17">
        <f>F319</f>
        <v>1537566.05</v>
      </c>
      <c r="G318" s="41"/>
      <c r="H318" s="31"/>
    </row>
    <row r="319" spans="1:8" ht="12.75">
      <c r="A319" s="4" t="s">
        <v>18</v>
      </c>
      <c r="B319" s="11" t="s">
        <v>91</v>
      </c>
      <c r="C319" s="11" t="s">
        <v>31</v>
      </c>
      <c r="D319" s="11" t="s">
        <v>376</v>
      </c>
      <c r="E319" s="11" t="s">
        <v>154</v>
      </c>
      <c r="F319" s="17">
        <v>1537566.05</v>
      </c>
      <c r="G319" s="41"/>
      <c r="H319" s="31"/>
    </row>
    <row r="320" spans="1:8" ht="12.75">
      <c r="A320" s="7" t="s">
        <v>113</v>
      </c>
      <c r="B320" s="9" t="s">
        <v>114</v>
      </c>
      <c r="C320" s="9" t="s">
        <v>10</v>
      </c>
      <c r="D320" s="9" t="s">
        <v>8</v>
      </c>
      <c r="E320" s="9" t="s">
        <v>11</v>
      </c>
      <c r="F320" s="24">
        <f>F321+F328+F333</f>
        <v>58703246.480000004</v>
      </c>
      <c r="G320" s="41"/>
      <c r="H320" s="31"/>
    </row>
    <row r="321" spans="1:8" ht="22.5">
      <c r="A321" s="6" t="s">
        <v>115</v>
      </c>
      <c r="B321" s="10" t="s">
        <v>114</v>
      </c>
      <c r="C321" s="10" t="s">
        <v>9</v>
      </c>
      <c r="D321" s="10" t="s">
        <v>33</v>
      </c>
      <c r="E321" s="10" t="s">
        <v>11</v>
      </c>
      <c r="F321" s="21">
        <f>F322+F324+F326</f>
        <v>13389395.55</v>
      </c>
      <c r="G321" s="40"/>
      <c r="H321" s="34"/>
    </row>
    <row r="322" spans="1:8" s="14" customFormat="1" ht="22.5">
      <c r="A322" s="28" t="s">
        <v>285</v>
      </c>
      <c r="B322" s="51" t="s">
        <v>114</v>
      </c>
      <c r="C322" s="51" t="s">
        <v>9</v>
      </c>
      <c r="D322" s="51" t="s">
        <v>284</v>
      </c>
      <c r="E322" s="51" t="s">
        <v>11</v>
      </c>
      <c r="F322" s="19">
        <f>F323</f>
        <v>11363420</v>
      </c>
      <c r="G322" s="41"/>
      <c r="H322" s="31"/>
    </row>
    <row r="323" spans="1:8" s="14" customFormat="1" ht="11.25" customHeight="1">
      <c r="A323" s="28" t="s">
        <v>116</v>
      </c>
      <c r="B323" s="51" t="s">
        <v>114</v>
      </c>
      <c r="C323" s="51" t="s">
        <v>9</v>
      </c>
      <c r="D323" s="51" t="s">
        <v>284</v>
      </c>
      <c r="E323" s="51" t="s">
        <v>117</v>
      </c>
      <c r="F323" s="19">
        <v>11363420</v>
      </c>
      <c r="G323" s="41"/>
      <c r="H323" s="31"/>
    </row>
    <row r="324" spans="1:8" ht="33.75">
      <c r="A324" s="4" t="s">
        <v>289</v>
      </c>
      <c r="B324" s="11" t="s">
        <v>114</v>
      </c>
      <c r="C324" s="11" t="s">
        <v>9</v>
      </c>
      <c r="D324" s="11" t="s">
        <v>288</v>
      </c>
      <c r="E324" s="11" t="s">
        <v>11</v>
      </c>
      <c r="F324" s="17">
        <f>F325</f>
        <v>1229000</v>
      </c>
      <c r="G324" s="41"/>
      <c r="H324" s="31"/>
    </row>
    <row r="325" spans="1:8" ht="12.75" customHeight="1">
      <c r="A325" s="4" t="s">
        <v>116</v>
      </c>
      <c r="B325" s="11" t="s">
        <v>114</v>
      </c>
      <c r="C325" s="11" t="s">
        <v>9</v>
      </c>
      <c r="D325" s="11" t="s">
        <v>288</v>
      </c>
      <c r="E325" s="11" t="s">
        <v>117</v>
      </c>
      <c r="F325" s="17">
        <v>1229000</v>
      </c>
      <c r="G325" s="41"/>
      <c r="H325" s="31"/>
    </row>
    <row r="326" spans="1:8" ht="22.5">
      <c r="A326" s="4" t="s">
        <v>244</v>
      </c>
      <c r="B326" s="11" t="s">
        <v>114</v>
      </c>
      <c r="C326" s="11" t="s">
        <v>9</v>
      </c>
      <c r="D326" s="11" t="s">
        <v>377</v>
      </c>
      <c r="E326" s="11" t="s">
        <v>11</v>
      </c>
      <c r="F326" s="17">
        <f>F327</f>
        <v>796975.55</v>
      </c>
      <c r="G326" s="41"/>
      <c r="H326" s="31"/>
    </row>
    <row r="327" spans="1:8" ht="12.75" customHeight="1">
      <c r="A327" s="4" t="s">
        <v>245</v>
      </c>
      <c r="B327" s="11" t="s">
        <v>114</v>
      </c>
      <c r="C327" s="11" t="s">
        <v>9</v>
      </c>
      <c r="D327" s="11" t="s">
        <v>377</v>
      </c>
      <c r="E327" s="11" t="s">
        <v>243</v>
      </c>
      <c r="F327" s="17">
        <v>796975.55</v>
      </c>
      <c r="G327" s="41"/>
      <c r="H327" s="31"/>
    </row>
    <row r="328" spans="1:8" ht="33.75" customHeight="1">
      <c r="A328" s="6" t="s">
        <v>249</v>
      </c>
      <c r="B328" s="10" t="s">
        <v>114</v>
      </c>
      <c r="C328" s="10" t="s">
        <v>13</v>
      </c>
      <c r="D328" s="10" t="s">
        <v>8</v>
      </c>
      <c r="E328" s="10" t="s">
        <v>11</v>
      </c>
      <c r="F328" s="21">
        <f>F329+F331</f>
        <v>42440150.93</v>
      </c>
      <c r="G328" s="41"/>
      <c r="H328" s="31"/>
    </row>
    <row r="329" spans="1:8" s="14" customFormat="1" ht="33.75">
      <c r="A329" s="55" t="s">
        <v>442</v>
      </c>
      <c r="B329" s="15" t="s">
        <v>114</v>
      </c>
      <c r="C329" s="15" t="s">
        <v>13</v>
      </c>
      <c r="D329" s="15" t="s">
        <v>292</v>
      </c>
      <c r="E329" s="15" t="s">
        <v>11</v>
      </c>
      <c r="F329" s="27">
        <f>F330</f>
        <v>17357630.54</v>
      </c>
      <c r="G329" s="41"/>
      <c r="H329" s="31"/>
    </row>
    <row r="330" spans="1:8" s="14" customFormat="1" ht="30.75" customHeight="1">
      <c r="A330" s="28" t="s">
        <v>417</v>
      </c>
      <c r="B330" s="15" t="s">
        <v>114</v>
      </c>
      <c r="C330" s="15" t="s">
        <v>13</v>
      </c>
      <c r="D330" s="15" t="s">
        <v>292</v>
      </c>
      <c r="E330" s="51" t="s">
        <v>378</v>
      </c>
      <c r="F330" s="27">
        <v>17357630.54</v>
      </c>
      <c r="G330" s="41"/>
      <c r="H330" s="31"/>
    </row>
    <row r="331" spans="1:8" s="14" customFormat="1" ht="33.75">
      <c r="A331" s="28" t="s">
        <v>418</v>
      </c>
      <c r="B331" s="51" t="s">
        <v>114</v>
      </c>
      <c r="C331" s="51" t="s">
        <v>13</v>
      </c>
      <c r="D331" s="51" t="s">
        <v>379</v>
      </c>
      <c r="E331" s="51" t="s">
        <v>11</v>
      </c>
      <c r="F331" s="27">
        <f>F332</f>
        <v>25082520.39</v>
      </c>
      <c r="G331" s="41"/>
      <c r="H331" s="31"/>
    </row>
    <row r="332" spans="1:8" s="14" customFormat="1" ht="13.5" customHeight="1">
      <c r="A332" s="28" t="s">
        <v>332</v>
      </c>
      <c r="B332" s="51" t="s">
        <v>114</v>
      </c>
      <c r="C332" s="51" t="s">
        <v>13</v>
      </c>
      <c r="D332" s="51" t="s">
        <v>379</v>
      </c>
      <c r="E332" s="51" t="s">
        <v>210</v>
      </c>
      <c r="F332" s="27">
        <f>5134872+19947648.39</f>
        <v>25082520.39</v>
      </c>
      <c r="G332" s="41"/>
      <c r="H332" s="31"/>
    </row>
    <row r="333" spans="1:8" ht="22.5">
      <c r="A333" s="6" t="s">
        <v>118</v>
      </c>
      <c r="B333" s="10" t="s">
        <v>114</v>
      </c>
      <c r="C333" s="10" t="s">
        <v>19</v>
      </c>
      <c r="D333" s="10" t="s">
        <v>8</v>
      </c>
      <c r="E333" s="10" t="s">
        <v>11</v>
      </c>
      <c r="F333" s="21">
        <f>F335+F337</f>
        <v>2873700</v>
      </c>
      <c r="G333" s="40"/>
      <c r="H333" s="34"/>
    </row>
    <row r="334" spans="1:8" ht="37.5" customHeight="1">
      <c r="A334" s="4" t="s">
        <v>419</v>
      </c>
      <c r="B334" s="11" t="s">
        <v>114</v>
      </c>
      <c r="C334" s="11" t="s">
        <v>19</v>
      </c>
      <c r="D334" s="11" t="s">
        <v>120</v>
      </c>
      <c r="E334" s="11" t="s">
        <v>11</v>
      </c>
      <c r="F334" s="17">
        <f>F335</f>
        <v>2181900</v>
      </c>
      <c r="G334" s="32"/>
      <c r="H334" s="33"/>
    </row>
    <row r="335" spans="1:8" ht="12.75">
      <c r="A335" s="4" t="s">
        <v>121</v>
      </c>
      <c r="B335" s="11" t="s">
        <v>114</v>
      </c>
      <c r="C335" s="11" t="s">
        <v>19</v>
      </c>
      <c r="D335" s="11" t="s">
        <v>120</v>
      </c>
      <c r="E335" s="11" t="s">
        <v>122</v>
      </c>
      <c r="F335" s="17">
        <v>2181900</v>
      </c>
      <c r="G335" s="32"/>
      <c r="H335" s="33"/>
    </row>
    <row r="336" spans="1:8" ht="12.75">
      <c r="A336" s="4" t="s">
        <v>36</v>
      </c>
      <c r="B336" s="11" t="s">
        <v>114</v>
      </c>
      <c r="C336" s="11" t="s">
        <v>19</v>
      </c>
      <c r="D336" s="11" t="s">
        <v>37</v>
      </c>
      <c r="E336" s="11" t="s">
        <v>11</v>
      </c>
      <c r="F336" s="17">
        <f>F337</f>
        <v>691800</v>
      </c>
      <c r="G336" s="32"/>
      <c r="H336" s="33"/>
    </row>
    <row r="337" spans="1:8" ht="11.25" customHeight="1" thickBot="1">
      <c r="A337" s="4" t="s">
        <v>121</v>
      </c>
      <c r="B337" s="11" t="s">
        <v>114</v>
      </c>
      <c r="C337" s="11" t="s">
        <v>19</v>
      </c>
      <c r="D337" s="11" t="s">
        <v>37</v>
      </c>
      <c r="E337" s="11" t="s">
        <v>122</v>
      </c>
      <c r="F337" s="17">
        <f>240350+451450</f>
        <v>691800</v>
      </c>
      <c r="G337" s="32"/>
      <c r="H337" s="33"/>
    </row>
    <row r="338" spans="1:8" ht="9" customHeight="1" hidden="1">
      <c r="A338" s="76"/>
      <c r="B338" s="76"/>
      <c r="C338" s="76"/>
      <c r="D338" s="76"/>
      <c r="E338" s="76"/>
      <c r="F338" s="77"/>
      <c r="G338" s="41"/>
      <c r="H338" s="31"/>
    </row>
    <row r="339" spans="1:8" s="53" customFormat="1" ht="13.5" thickBot="1">
      <c r="A339" s="78" t="s">
        <v>2</v>
      </c>
      <c r="B339" s="79"/>
      <c r="C339" s="79"/>
      <c r="D339" s="79"/>
      <c r="E339" s="79"/>
      <c r="F339" s="81">
        <f>F7+F37+F58+F72+F111+F119+F173+F198+F242+F320</f>
        <v>1065452541.9500002</v>
      </c>
      <c r="G339" s="38"/>
      <c r="H339" s="39"/>
    </row>
    <row r="340" spans="6:8" ht="12.75">
      <c r="F340" s="41"/>
      <c r="G340" s="41"/>
      <c r="H340" s="31"/>
    </row>
    <row r="341" spans="4:8" s="30" customFormat="1" ht="12.75">
      <c r="D341" s="36"/>
      <c r="F341" s="41"/>
      <c r="G341" s="41"/>
      <c r="H341" s="31"/>
    </row>
    <row r="342" spans="6:8" s="30" customFormat="1" ht="12.75">
      <c r="F342" s="40"/>
      <c r="G342" s="40"/>
      <c r="H342" s="34"/>
    </row>
    <row r="343" spans="6:8" s="30" customFormat="1" ht="12.75">
      <c r="F343" s="41"/>
      <c r="G343" s="41"/>
      <c r="H343" s="31"/>
    </row>
    <row r="344" spans="6:8" s="30" customFormat="1" ht="12.75">
      <c r="F344" s="41" t="s">
        <v>456</v>
      </c>
      <c r="G344" s="41"/>
      <c r="H344" s="31"/>
    </row>
    <row r="345" spans="6:8" s="30" customFormat="1" ht="12.75">
      <c r="F345" s="41"/>
      <c r="G345" s="41"/>
      <c r="H345" s="31"/>
    </row>
    <row r="346" spans="6:8" s="30" customFormat="1" ht="12.75">
      <c r="F346" s="41"/>
      <c r="G346" s="41"/>
      <c r="H346" s="31"/>
    </row>
    <row r="347" spans="6:8" s="30" customFormat="1" ht="12.75">
      <c r="F347" s="36"/>
      <c r="G347" s="36"/>
      <c r="H347" s="31"/>
    </row>
    <row r="348" spans="2:8" s="30" customFormat="1" ht="14.25">
      <c r="B348" s="82"/>
      <c r="F348" s="36"/>
      <c r="G348" s="36"/>
      <c r="H348" s="44"/>
    </row>
    <row r="349" spans="6:8" s="30" customFormat="1" ht="12.75">
      <c r="F349" s="36"/>
      <c r="G349" s="36"/>
      <c r="H349" s="36"/>
    </row>
    <row r="350" spans="6:8" s="30" customFormat="1" ht="12.75">
      <c r="F350" s="36"/>
      <c r="G350" s="36"/>
      <c r="H350" s="36"/>
    </row>
    <row r="351" spans="6:8" s="30" customFormat="1" ht="12.75">
      <c r="F351" s="36"/>
      <c r="G351" s="36"/>
      <c r="H351" s="36"/>
    </row>
    <row r="352" spans="6:8" s="30" customFormat="1" ht="12.75">
      <c r="F352" s="36"/>
      <c r="G352" s="36"/>
      <c r="H352" s="36"/>
    </row>
    <row r="353" spans="6:8" s="30" customFormat="1" ht="12.75">
      <c r="F353" s="36"/>
      <c r="G353" s="36"/>
      <c r="H353" s="36"/>
    </row>
    <row r="354" spans="6:8" s="30" customFormat="1" ht="12.75">
      <c r="F354" s="36"/>
      <c r="G354" s="36"/>
      <c r="H354" s="36"/>
    </row>
    <row r="355" spans="6:8" s="30" customFormat="1" ht="12.75">
      <c r="F355" s="36"/>
      <c r="G355" s="36"/>
      <c r="H355" s="36"/>
    </row>
    <row r="356" spans="6:8" s="30" customFormat="1" ht="12.75">
      <c r="F356" s="36"/>
      <c r="G356" s="36"/>
      <c r="H356" s="36"/>
    </row>
    <row r="357" spans="6:8" s="30" customFormat="1" ht="12.75">
      <c r="F357" s="36"/>
      <c r="G357" s="36"/>
      <c r="H357" s="36"/>
    </row>
    <row r="358" spans="6:8" s="30" customFormat="1" ht="12.75">
      <c r="F358" s="36"/>
      <c r="G358" s="36"/>
      <c r="H358" s="36"/>
    </row>
    <row r="359" spans="6:8" s="30" customFormat="1" ht="12.75">
      <c r="F359" s="36"/>
      <c r="G359" s="36"/>
      <c r="H359" s="36"/>
    </row>
    <row r="360" spans="6:8" s="30" customFormat="1" ht="12.75">
      <c r="F360" s="36"/>
      <c r="G360" s="36"/>
      <c r="H360" s="36"/>
    </row>
    <row r="361" spans="6:8" s="30" customFormat="1" ht="12.75">
      <c r="F361" s="36"/>
      <c r="G361" s="36"/>
      <c r="H361" s="36"/>
    </row>
    <row r="362" spans="6:8" s="30" customFormat="1" ht="12.75">
      <c r="F362" s="36"/>
      <c r="G362" s="36"/>
      <c r="H362" s="36"/>
    </row>
    <row r="363" spans="6:8" s="30" customFormat="1" ht="12.75">
      <c r="F363" s="36"/>
      <c r="G363" s="36"/>
      <c r="H363" s="36"/>
    </row>
    <row r="364" spans="6:8" s="30" customFormat="1" ht="12.75">
      <c r="F364" s="36"/>
      <c r="G364" s="36"/>
      <c r="H364" s="36"/>
    </row>
    <row r="365" spans="6:8" s="30" customFormat="1" ht="12.75">
      <c r="F365" s="36"/>
      <c r="G365" s="36"/>
      <c r="H365" s="36"/>
    </row>
    <row r="366" spans="6:8" s="30" customFormat="1" ht="12.75">
      <c r="F366" s="36"/>
      <c r="G366" s="36"/>
      <c r="H366" s="36"/>
    </row>
    <row r="367" spans="6:8" s="30" customFormat="1" ht="12.75">
      <c r="F367" s="36"/>
      <c r="G367" s="36"/>
      <c r="H367" s="36"/>
    </row>
    <row r="368" spans="6:8" s="30" customFormat="1" ht="12.75">
      <c r="F368" s="36"/>
      <c r="G368" s="36"/>
      <c r="H368" s="36"/>
    </row>
    <row r="369" spans="6:8" s="30" customFormat="1" ht="12.75">
      <c r="F369" s="36"/>
      <c r="G369" s="36"/>
      <c r="H369" s="36"/>
    </row>
    <row r="370" spans="6:8" s="30" customFormat="1" ht="12.75">
      <c r="F370" s="36"/>
      <c r="G370" s="36"/>
      <c r="H370" s="36"/>
    </row>
    <row r="371" spans="6:8" s="30" customFormat="1" ht="12.75">
      <c r="F371" s="36"/>
      <c r="G371" s="36"/>
      <c r="H371" s="36"/>
    </row>
    <row r="372" spans="6:8" s="30" customFormat="1" ht="12.75">
      <c r="F372" s="36"/>
      <c r="G372" s="36"/>
      <c r="H372" s="36"/>
    </row>
    <row r="373" spans="6:8" s="30" customFormat="1" ht="12.75">
      <c r="F373" s="36"/>
      <c r="G373" s="36"/>
      <c r="H373" s="36"/>
    </row>
    <row r="374" spans="6:8" s="30" customFormat="1" ht="12.75">
      <c r="F374" s="36"/>
      <c r="G374" s="36"/>
      <c r="H374" s="36"/>
    </row>
    <row r="375" spans="6:8" s="30" customFormat="1" ht="12.75">
      <c r="F375" s="36"/>
      <c r="G375" s="36"/>
      <c r="H375" s="36"/>
    </row>
    <row r="376" spans="6:8" s="30" customFormat="1" ht="12.75">
      <c r="F376" s="36"/>
      <c r="G376" s="36"/>
      <c r="H376" s="36"/>
    </row>
    <row r="377" spans="6:8" s="30" customFormat="1" ht="12.75">
      <c r="F377" s="36"/>
      <c r="G377" s="36"/>
      <c r="H377" s="36"/>
    </row>
    <row r="378" spans="6:8" s="30" customFormat="1" ht="12.75">
      <c r="F378" s="36"/>
      <c r="G378" s="36"/>
      <c r="H378" s="36"/>
    </row>
    <row r="379" spans="6:8" s="30" customFormat="1" ht="12.75">
      <c r="F379" s="36"/>
      <c r="G379" s="36"/>
      <c r="H379" s="36"/>
    </row>
    <row r="380" spans="6:8" s="30" customFormat="1" ht="12.75">
      <c r="F380" s="36"/>
      <c r="G380" s="36"/>
      <c r="H380" s="36"/>
    </row>
    <row r="381" spans="6:8" s="30" customFormat="1" ht="12.75">
      <c r="F381" s="36"/>
      <c r="G381" s="36"/>
      <c r="H381" s="36"/>
    </row>
    <row r="382" spans="6:8" s="30" customFormat="1" ht="12.75">
      <c r="F382" s="36"/>
      <c r="G382" s="36"/>
      <c r="H382" s="36"/>
    </row>
    <row r="383" spans="6:8" s="30" customFormat="1" ht="12.75">
      <c r="F383" s="36"/>
      <c r="G383" s="36"/>
      <c r="H383" s="36"/>
    </row>
    <row r="384" spans="6:8" s="30" customFormat="1" ht="12.75">
      <c r="F384" s="36"/>
      <c r="G384" s="36"/>
      <c r="H384" s="36"/>
    </row>
    <row r="385" spans="6:8" s="30" customFormat="1" ht="12.75">
      <c r="F385" s="36"/>
      <c r="G385" s="36"/>
      <c r="H385" s="36"/>
    </row>
    <row r="386" spans="6:8" s="30" customFormat="1" ht="12.75">
      <c r="F386" s="36"/>
      <c r="G386" s="36"/>
      <c r="H386" s="36"/>
    </row>
    <row r="387" spans="6:8" s="30" customFormat="1" ht="12.75">
      <c r="F387" s="36"/>
      <c r="G387" s="36"/>
      <c r="H387" s="36"/>
    </row>
    <row r="388" spans="6:8" s="30" customFormat="1" ht="12.75">
      <c r="F388" s="36"/>
      <c r="G388" s="36"/>
      <c r="H388" s="36"/>
    </row>
    <row r="389" spans="6:8" s="30" customFormat="1" ht="12.75">
      <c r="F389" s="36"/>
      <c r="G389" s="36"/>
      <c r="H389" s="36"/>
    </row>
    <row r="390" spans="6:8" s="30" customFormat="1" ht="12.75">
      <c r="F390" s="36"/>
      <c r="G390" s="36"/>
      <c r="H390" s="36"/>
    </row>
    <row r="391" spans="6:8" s="30" customFormat="1" ht="12.75">
      <c r="F391" s="36"/>
      <c r="G391" s="36"/>
      <c r="H391" s="36"/>
    </row>
    <row r="392" spans="6:8" s="30" customFormat="1" ht="12.75">
      <c r="F392" s="36"/>
      <c r="G392" s="36"/>
      <c r="H392" s="36"/>
    </row>
    <row r="393" spans="6:8" s="30" customFormat="1" ht="12.75">
      <c r="F393" s="36"/>
      <c r="G393" s="36"/>
      <c r="H393" s="36"/>
    </row>
    <row r="394" spans="6:8" s="30" customFormat="1" ht="12.75">
      <c r="F394" s="36"/>
      <c r="G394" s="36"/>
      <c r="H394" s="36"/>
    </row>
    <row r="395" spans="6:8" s="30" customFormat="1" ht="12.75">
      <c r="F395" s="36"/>
      <c r="G395" s="36"/>
      <c r="H395" s="36"/>
    </row>
    <row r="396" spans="6:8" s="30" customFormat="1" ht="12.75">
      <c r="F396" s="36"/>
      <c r="G396" s="36"/>
      <c r="H396" s="36"/>
    </row>
    <row r="397" spans="6:8" s="30" customFormat="1" ht="12.75">
      <c r="F397" s="36"/>
      <c r="G397" s="36"/>
      <c r="H397" s="36"/>
    </row>
    <row r="398" spans="6:8" s="30" customFormat="1" ht="12.75">
      <c r="F398" s="36"/>
      <c r="G398" s="36"/>
      <c r="H398" s="36"/>
    </row>
    <row r="399" spans="6:8" s="30" customFormat="1" ht="12.75">
      <c r="F399" s="36"/>
      <c r="G399" s="36"/>
      <c r="H399" s="36"/>
    </row>
    <row r="400" spans="6:8" s="30" customFormat="1" ht="12.75">
      <c r="F400" s="36"/>
      <c r="G400" s="36"/>
      <c r="H400" s="36"/>
    </row>
    <row r="401" spans="6:8" s="30" customFormat="1" ht="12.75">
      <c r="F401" s="36"/>
      <c r="G401" s="36"/>
      <c r="H401" s="36"/>
    </row>
    <row r="402" spans="6:8" s="30" customFormat="1" ht="12.75">
      <c r="F402" s="36"/>
      <c r="G402" s="36"/>
      <c r="H402" s="36"/>
    </row>
    <row r="403" spans="6:8" s="30" customFormat="1" ht="12.75">
      <c r="F403" s="36"/>
      <c r="G403" s="36"/>
      <c r="H403" s="36"/>
    </row>
    <row r="404" spans="6:8" s="30" customFormat="1" ht="12.75">
      <c r="F404" s="36"/>
      <c r="G404" s="36"/>
      <c r="H404" s="36"/>
    </row>
    <row r="405" spans="6:8" s="30" customFormat="1" ht="12.75">
      <c r="F405" s="36"/>
      <c r="G405" s="36"/>
      <c r="H405" s="36"/>
    </row>
    <row r="406" spans="6:8" s="30" customFormat="1" ht="12.75">
      <c r="F406" s="36"/>
      <c r="G406" s="36"/>
      <c r="H406" s="36"/>
    </row>
    <row r="407" spans="6:8" s="30" customFormat="1" ht="12.75">
      <c r="F407" s="36"/>
      <c r="G407" s="36"/>
      <c r="H407" s="36"/>
    </row>
    <row r="408" spans="6:8" s="30" customFormat="1" ht="12.75">
      <c r="F408" s="36"/>
      <c r="G408" s="36"/>
      <c r="H408" s="36"/>
    </row>
    <row r="409" spans="6:8" s="30" customFormat="1" ht="12.75">
      <c r="F409" s="36"/>
      <c r="G409" s="36"/>
      <c r="H409" s="36"/>
    </row>
    <row r="410" spans="6:8" s="30" customFormat="1" ht="12.75">
      <c r="F410" s="36"/>
      <c r="G410" s="36"/>
      <c r="H410" s="36"/>
    </row>
    <row r="411" spans="6:8" s="30" customFormat="1" ht="12.75">
      <c r="F411" s="36"/>
      <c r="G411" s="36"/>
      <c r="H411" s="36"/>
    </row>
    <row r="412" spans="6:8" s="30" customFormat="1" ht="12.75">
      <c r="F412" s="36"/>
      <c r="G412" s="36"/>
      <c r="H412" s="36"/>
    </row>
    <row r="413" spans="6:8" s="30" customFormat="1" ht="12.75">
      <c r="F413" s="36"/>
      <c r="G413" s="36"/>
      <c r="H413" s="36"/>
    </row>
    <row r="414" spans="6:8" s="30" customFormat="1" ht="12.75">
      <c r="F414" s="36"/>
      <c r="G414" s="36"/>
      <c r="H414" s="36"/>
    </row>
    <row r="415" spans="6:8" s="30" customFormat="1" ht="12.75">
      <c r="F415" s="36"/>
      <c r="G415" s="36"/>
      <c r="H415" s="36"/>
    </row>
    <row r="416" spans="6:8" s="30" customFormat="1" ht="12.75">
      <c r="F416" s="36"/>
      <c r="G416" s="36"/>
      <c r="H416" s="36"/>
    </row>
    <row r="417" spans="6:8" s="30" customFormat="1" ht="12.75">
      <c r="F417" s="36"/>
      <c r="G417" s="36"/>
      <c r="H417" s="36"/>
    </row>
    <row r="418" spans="6:8" s="30" customFormat="1" ht="12.75">
      <c r="F418" s="36"/>
      <c r="G418" s="36"/>
      <c r="H418" s="36"/>
    </row>
    <row r="419" spans="6:8" s="30" customFormat="1" ht="12.75">
      <c r="F419" s="36"/>
      <c r="G419" s="36"/>
      <c r="H419" s="36"/>
    </row>
    <row r="420" spans="6:8" s="30" customFormat="1" ht="12.75">
      <c r="F420" s="36"/>
      <c r="G420" s="36"/>
      <c r="H420" s="36"/>
    </row>
    <row r="421" spans="6:8" s="30" customFormat="1" ht="12.75">
      <c r="F421" s="36"/>
      <c r="G421" s="36"/>
      <c r="H421" s="36"/>
    </row>
    <row r="422" spans="6:8" s="30" customFormat="1" ht="12.75">
      <c r="F422" s="36"/>
      <c r="G422" s="36"/>
      <c r="H422" s="36"/>
    </row>
    <row r="423" spans="6:8" s="30" customFormat="1" ht="12.75">
      <c r="F423" s="36"/>
      <c r="G423" s="36"/>
      <c r="H423" s="36"/>
    </row>
    <row r="424" spans="6:8" s="30" customFormat="1" ht="12.75">
      <c r="F424" s="36"/>
      <c r="G424" s="36"/>
      <c r="H424" s="36"/>
    </row>
    <row r="425" spans="6:8" s="30" customFormat="1" ht="12.75">
      <c r="F425" s="36"/>
      <c r="G425" s="36"/>
      <c r="H425" s="36"/>
    </row>
    <row r="426" spans="6:8" s="30" customFormat="1" ht="12.75">
      <c r="F426" s="36"/>
      <c r="G426" s="36"/>
      <c r="H426" s="36"/>
    </row>
    <row r="427" spans="6:8" s="30" customFormat="1" ht="12.75">
      <c r="F427" s="36"/>
      <c r="G427" s="36"/>
      <c r="H427" s="36"/>
    </row>
    <row r="428" spans="6:8" s="30" customFormat="1" ht="12.75">
      <c r="F428" s="36"/>
      <c r="G428" s="36"/>
      <c r="H428" s="36"/>
    </row>
    <row r="429" spans="6:8" s="30" customFormat="1" ht="12.75">
      <c r="F429" s="36"/>
      <c r="G429" s="36"/>
      <c r="H429" s="36"/>
    </row>
    <row r="430" spans="6:8" s="30" customFormat="1" ht="12.75">
      <c r="F430" s="36"/>
      <c r="G430" s="36"/>
      <c r="H430" s="36"/>
    </row>
    <row r="431" spans="6:8" s="30" customFormat="1" ht="12.75">
      <c r="F431" s="36"/>
      <c r="G431" s="36"/>
      <c r="H431" s="36"/>
    </row>
    <row r="432" spans="6:8" s="30" customFormat="1" ht="12.75">
      <c r="F432" s="36"/>
      <c r="G432" s="36"/>
      <c r="H432" s="36"/>
    </row>
    <row r="433" spans="6:8" s="30" customFormat="1" ht="12.75">
      <c r="F433" s="36"/>
      <c r="G433" s="36"/>
      <c r="H433" s="36"/>
    </row>
    <row r="434" spans="6:8" s="30" customFormat="1" ht="12.75">
      <c r="F434" s="36"/>
      <c r="G434" s="36"/>
      <c r="H434" s="36"/>
    </row>
    <row r="435" spans="6:8" s="30" customFormat="1" ht="12.75">
      <c r="F435" s="36"/>
      <c r="G435" s="36"/>
      <c r="H435" s="36"/>
    </row>
    <row r="436" spans="6:8" s="30" customFormat="1" ht="12.75">
      <c r="F436" s="36"/>
      <c r="G436" s="36"/>
      <c r="H436" s="36"/>
    </row>
    <row r="437" spans="6:8" s="30" customFormat="1" ht="12.75">
      <c r="F437" s="36"/>
      <c r="G437" s="36"/>
      <c r="H437" s="36"/>
    </row>
    <row r="438" spans="6:8" s="30" customFormat="1" ht="12.75">
      <c r="F438" s="36"/>
      <c r="G438" s="36"/>
      <c r="H438" s="36"/>
    </row>
    <row r="439" spans="6:8" s="30" customFormat="1" ht="12.75">
      <c r="F439" s="36"/>
      <c r="G439" s="36"/>
      <c r="H439" s="36"/>
    </row>
    <row r="440" spans="6:8" s="30" customFormat="1" ht="12.75">
      <c r="F440" s="36"/>
      <c r="G440" s="36"/>
      <c r="H440" s="36"/>
    </row>
    <row r="441" spans="6:8" s="30" customFormat="1" ht="12.75">
      <c r="F441" s="36"/>
      <c r="G441" s="36"/>
      <c r="H441" s="36"/>
    </row>
    <row r="442" spans="6:8" s="30" customFormat="1" ht="12.75">
      <c r="F442" s="36"/>
      <c r="G442" s="36"/>
      <c r="H442" s="36"/>
    </row>
    <row r="443" spans="6:8" s="30" customFormat="1" ht="12.75">
      <c r="F443" s="36"/>
      <c r="G443" s="36"/>
      <c r="H443" s="36"/>
    </row>
    <row r="444" spans="6:8" s="30" customFormat="1" ht="12.75">
      <c r="F444" s="36"/>
      <c r="G444" s="36"/>
      <c r="H444" s="36"/>
    </row>
    <row r="445" spans="6:8" s="30" customFormat="1" ht="12.75">
      <c r="F445" s="36"/>
      <c r="G445" s="36"/>
      <c r="H445" s="36"/>
    </row>
    <row r="446" spans="6:8" s="30" customFormat="1" ht="12.75">
      <c r="F446" s="36"/>
      <c r="G446" s="36"/>
      <c r="H446" s="36"/>
    </row>
    <row r="447" spans="6:8" s="30" customFormat="1" ht="12.75">
      <c r="F447" s="36"/>
      <c r="G447" s="36"/>
      <c r="H447" s="36"/>
    </row>
    <row r="448" spans="6:8" s="30" customFormat="1" ht="12.75">
      <c r="F448" s="36"/>
      <c r="G448" s="36"/>
      <c r="H448" s="36"/>
    </row>
    <row r="449" spans="6:8" s="30" customFormat="1" ht="12.75">
      <c r="F449" s="36"/>
      <c r="G449" s="36"/>
      <c r="H449" s="36"/>
    </row>
    <row r="450" spans="6:8" s="30" customFormat="1" ht="12.75">
      <c r="F450" s="36"/>
      <c r="G450" s="36"/>
      <c r="H450" s="36"/>
    </row>
    <row r="451" spans="6:8" s="30" customFormat="1" ht="12.75">
      <c r="F451" s="36"/>
      <c r="G451" s="36"/>
      <c r="H451" s="36"/>
    </row>
    <row r="452" spans="6:8" s="30" customFormat="1" ht="12.75">
      <c r="F452" s="36"/>
      <c r="G452" s="36"/>
      <c r="H452" s="36"/>
    </row>
    <row r="453" spans="6:8" s="30" customFormat="1" ht="12.75">
      <c r="F453" s="36"/>
      <c r="G453" s="36"/>
      <c r="H453" s="36"/>
    </row>
    <row r="454" spans="6:8" s="30" customFormat="1" ht="12.75">
      <c r="F454" s="36"/>
      <c r="G454" s="36"/>
      <c r="H454" s="36"/>
    </row>
    <row r="455" spans="6:8" s="30" customFormat="1" ht="12.75">
      <c r="F455" s="36"/>
      <c r="G455" s="36"/>
      <c r="H455" s="36"/>
    </row>
    <row r="456" spans="6:8" s="30" customFormat="1" ht="12.75">
      <c r="F456" s="36"/>
      <c r="G456" s="36"/>
      <c r="H456" s="36"/>
    </row>
    <row r="457" spans="6:8" s="30" customFormat="1" ht="12.75">
      <c r="F457" s="36"/>
      <c r="G457" s="36"/>
      <c r="H457" s="36"/>
    </row>
    <row r="458" spans="6:8" s="30" customFormat="1" ht="12.75">
      <c r="F458" s="36"/>
      <c r="G458" s="36"/>
      <c r="H458" s="36"/>
    </row>
    <row r="459" spans="6:8" s="30" customFormat="1" ht="12.75">
      <c r="F459" s="36"/>
      <c r="G459" s="36"/>
      <c r="H459" s="36"/>
    </row>
    <row r="460" spans="6:8" s="30" customFormat="1" ht="12.75">
      <c r="F460" s="36"/>
      <c r="G460" s="36"/>
      <c r="H460" s="36"/>
    </row>
    <row r="461" spans="6:8" s="30" customFormat="1" ht="12.75">
      <c r="F461" s="36"/>
      <c r="G461" s="36"/>
      <c r="H461" s="36"/>
    </row>
    <row r="462" spans="6:8" s="30" customFormat="1" ht="12.75">
      <c r="F462" s="36"/>
      <c r="G462" s="36"/>
      <c r="H462" s="36"/>
    </row>
    <row r="463" spans="6:8" s="30" customFormat="1" ht="12.75">
      <c r="F463" s="36"/>
      <c r="G463" s="36"/>
      <c r="H463" s="36"/>
    </row>
    <row r="464" spans="6:8" s="30" customFormat="1" ht="12.75">
      <c r="F464" s="36"/>
      <c r="G464" s="36"/>
      <c r="H464" s="36"/>
    </row>
    <row r="465" spans="6:8" s="30" customFormat="1" ht="12.75">
      <c r="F465" s="36"/>
      <c r="G465" s="36"/>
      <c r="H465" s="36"/>
    </row>
    <row r="466" spans="6:8" s="30" customFormat="1" ht="12.75">
      <c r="F466" s="36"/>
      <c r="G466" s="36"/>
      <c r="H466" s="36"/>
    </row>
    <row r="467" spans="6:8" s="30" customFormat="1" ht="12.75">
      <c r="F467" s="36"/>
      <c r="G467" s="36"/>
      <c r="H467" s="36"/>
    </row>
    <row r="468" spans="6:8" s="30" customFormat="1" ht="12.75">
      <c r="F468" s="36"/>
      <c r="G468" s="36"/>
      <c r="H468" s="36"/>
    </row>
    <row r="469" spans="6:8" s="30" customFormat="1" ht="12.75">
      <c r="F469" s="36"/>
      <c r="G469" s="36"/>
      <c r="H469" s="36"/>
    </row>
    <row r="470" spans="6:8" s="30" customFormat="1" ht="12.75">
      <c r="F470" s="36"/>
      <c r="G470" s="36"/>
      <c r="H470" s="36"/>
    </row>
    <row r="471" spans="6:8" s="30" customFormat="1" ht="12.75">
      <c r="F471" s="36"/>
      <c r="G471" s="36"/>
      <c r="H471" s="36"/>
    </row>
    <row r="472" spans="6:8" s="30" customFormat="1" ht="12.75">
      <c r="F472" s="36"/>
      <c r="G472" s="36"/>
      <c r="H472" s="36"/>
    </row>
    <row r="473" spans="6:8" s="30" customFormat="1" ht="12.75">
      <c r="F473" s="36"/>
      <c r="G473" s="36"/>
      <c r="H473" s="36"/>
    </row>
    <row r="474" spans="6:8" s="30" customFormat="1" ht="12.75">
      <c r="F474" s="36"/>
      <c r="G474" s="36"/>
      <c r="H474" s="36"/>
    </row>
    <row r="475" spans="6:8" s="30" customFormat="1" ht="12.75">
      <c r="F475" s="36"/>
      <c r="G475" s="36"/>
      <c r="H475" s="36"/>
    </row>
    <row r="476" spans="6:8" s="30" customFormat="1" ht="12.75">
      <c r="F476" s="36"/>
      <c r="G476" s="36"/>
      <c r="H476" s="36"/>
    </row>
    <row r="477" spans="6:8" s="30" customFormat="1" ht="12.75">
      <c r="F477" s="36"/>
      <c r="G477" s="36"/>
      <c r="H477" s="36"/>
    </row>
    <row r="478" spans="6:8" s="30" customFormat="1" ht="12.75">
      <c r="F478" s="36"/>
      <c r="G478" s="36"/>
      <c r="H478" s="36"/>
    </row>
    <row r="479" spans="6:8" s="30" customFormat="1" ht="12.75">
      <c r="F479" s="36"/>
      <c r="G479" s="36"/>
      <c r="H479" s="36"/>
    </row>
    <row r="480" spans="6:8" s="30" customFormat="1" ht="12.75">
      <c r="F480" s="36"/>
      <c r="G480" s="36"/>
      <c r="H480" s="36"/>
    </row>
    <row r="481" spans="6:8" s="30" customFormat="1" ht="12.75">
      <c r="F481" s="36"/>
      <c r="G481" s="36"/>
      <c r="H481" s="36"/>
    </row>
    <row r="482" spans="6:8" s="30" customFormat="1" ht="12.75">
      <c r="F482" s="36"/>
      <c r="G482" s="36"/>
      <c r="H482" s="36"/>
    </row>
    <row r="483" spans="6:8" s="30" customFormat="1" ht="12.75">
      <c r="F483" s="36"/>
      <c r="G483" s="36"/>
      <c r="H483" s="36"/>
    </row>
    <row r="484" spans="6:8" s="30" customFormat="1" ht="12.75">
      <c r="F484" s="36"/>
      <c r="G484" s="36"/>
      <c r="H484" s="36"/>
    </row>
    <row r="485" spans="6:8" s="30" customFormat="1" ht="12.75">
      <c r="F485" s="36"/>
      <c r="G485" s="36"/>
      <c r="H485" s="36"/>
    </row>
    <row r="486" spans="6:8" s="30" customFormat="1" ht="12.75">
      <c r="F486" s="36"/>
      <c r="G486" s="36"/>
      <c r="H486" s="36"/>
    </row>
    <row r="487" spans="6:8" s="30" customFormat="1" ht="12.75">
      <c r="F487" s="36"/>
      <c r="G487" s="36"/>
      <c r="H487" s="36"/>
    </row>
    <row r="488" spans="6:8" s="30" customFormat="1" ht="12.75">
      <c r="F488" s="36"/>
      <c r="G488" s="36"/>
      <c r="H488" s="36"/>
    </row>
    <row r="489" spans="6:8" s="30" customFormat="1" ht="12.75">
      <c r="F489" s="36"/>
      <c r="G489" s="36"/>
      <c r="H489" s="36"/>
    </row>
    <row r="490" spans="6:8" s="30" customFormat="1" ht="12.75">
      <c r="F490" s="36"/>
      <c r="G490" s="36"/>
      <c r="H490" s="36"/>
    </row>
    <row r="491" spans="6:8" s="30" customFormat="1" ht="12.75">
      <c r="F491" s="36"/>
      <c r="G491" s="36"/>
      <c r="H491" s="36"/>
    </row>
    <row r="492" spans="6:8" s="30" customFormat="1" ht="12.75">
      <c r="F492" s="36"/>
      <c r="G492" s="36"/>
      <c r="H492" s="36"/>
    </row>
    <row r="493" spans="6:8" s="30" customFormat="1" ht="12.75">
      <c r="F493" s="36"/>
      <c r="G493" s="36"/>
      <c r="H493" s="36"/>
    </row>
    <row r="494" spans="6:8" s="30" customFormat="1" ht="12.75">
      <c r="F494" s="36"/>
      <c r="G494" s="36"/>
      <c r="H494" s="36"/>
    </row>
    <row r="495" spans="6:8" s="30" customFormat="1" ht="12.75">
      <c r="F495" s="36"/>
      <c r="G495" s="36"/>
      <c r="H495" s="36"/>
    </row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  <row r="666" s="30" customFormat="1" ht="12.75"/>
    <row r="667" s="30" customFormat="1" ht="12.75"/>
    <row r="668" s="30" customFormat="1" ht="12.75"/>
    <row r="669" s="30" customFormat="1" ht="12.75"/>
    <row r="670" s="30" customFormat="1" ht="12.75"/>
    <row r="671" s="30" customFormat="1" ht="12.75"/>
    <row r="672" s="30" customFormat="1" ht="12.75"/>
    <row r="673" s="30" customFormat="1" ht="12.75"/>
    <row r="674" s="30" customFormat="1" ht="12.75"/>
    <row r="675" s="30" customFormat="1" ht="12.75"/>
    <row r="676" s="30" customFormat="1" ht="12.75"/>
    <row r="677" s="30" customFormat="1" ht="12.75"/>
    <row r="678" s="30" customFormat="1" ht="12.75"/>
    <row r="679" s="30" customFormat="1" ht="12.75"/>
    <row r="680" s="30" customFormat="1" ht="12.75"/>
    <row r="681" s="30" customFormat="1" ht="12.75"/>
    <row r="682" s="30" customFormat="1" ht="12.75"/>
    <row r="683" s="30" customFormat="1" ht="12.75"/>
    <row r="684" s="30" customFormat="1" ht="12.75"/>
    <row r="685" s="30" customFormat="1" ht="12.75"/>
    <row r="686" s="30" customFormat="1" ht="12.75"/>
    <row r="687" s="30" customFormat="1" ht="12.75"/>
    <row r="688" s="30" customFormat="1" ht="12.75"/>
    <row r="689" s="30" customFormat="1" ht="12.75"/>
    <row r="690" s="30" customFormat="1" ht="12.75"/>
    <row r="691" s="30" customFormat="1" ht="12.75"/>
    <row r="692" s="30" customFormat="1" ht="12.75"/>
    <row r="693" s="30" customFormat="1" ht="12.75"/>
    <row r="694" s="30" customFormat="1" ht="12.75"/>
    <row r="695" s="30" customFormat="1" ht="12.75"/>
    <row r="696" s="30" customFormat="1" ht="12.75"/>
    <row r="697" s="30" customFormat="1" ht="12.75"/>
    <row r="698" s="30" customFormat="1" ht="12.75"/>
    <row r="699" s="30" customFormat="1" ht="12.75"/>
    <row r="700" s="30" customFormat="1" ht="12.75"/>
    <row r="701" s="30" customFormat="1" ht="12.75"/>
    <row r="702" s="30" customFormat="1" ht="12.75"/>
    <row r="703" s="30" customFormat="1" ht="12.75"/>
    <row r="704" s="30" customFormat="1" ht="12.75"/>
    <row r="705" s="30" customFormat="1" ht="12.75"/>
    <row r="706" s="30" customFormat="1" ht="12.75"/>
    <row r="707" s="30" customFormat="1" ht="12.75"/>
    <row r="708" s="30" customFormat="1" ht="12.75"/>
    <row r="709" s="30" customFormat="1" ht="12.75"/>
    <row r="710" s="30" customFormat="1" ht="12.75"/>
    <row r="711" s="30" customFormat="1" ht="12.75"/>
    <row r="712" s="30" customFormat="1" ht="12.75"/>
    <row r="713" s="30" customFormat="1" ht="12.75"/>
    <row r="714" s="30" customFormat="1" ht="12.75"/>
    <row r="715" s="30" customFormat="1" ht="12.75"/>
    <row r="716" s="30" customFormat="1" ht="12.75"/>
    <row r="717" s="30" customFormat="1" ht="12.75"/>
    <row r="718" s="30" customFormat="1" ht="12.75"/>
    <row r="719" s="30" customFormat="1" ht="12.75"/>
    <row r="720" s="30" customFormat="1" ht="12.75"/>
    <row r="721" s="30" customFormat="1" ht="12.75"/>
    <row r="722" s="30" customFormat="1" ht="12.75"/>
    <row r="723" s="30" customFormat="1" ht="12.75"/>
    <row r="724" s="30" customFormat="1" ht="12.75"/>
    <row r="725" s="30" customFormat="1" ht="12.75"/>
    <row r="726" s="30" customFormat="1" ht="12.75"/>
    <row r="727" s="30" customFormat="1" ht="12.75"/>
    <row r="728" s="30" customFormat="1" ht="12.75"/>
    <row r="729" s="30" customFormat="1" ht="12.75"/>
    <row r="730" s="30" customFormat="1" ht="12.75"/>
    <row r="731" s="30" customFormat="1" ht="12.75"/>
    <row r="732" s="30" customFormat="1" ht="12.75"/>
    <row r="733" s="30" customFormat="1" ht="12.75"/>
    <row r="734" s="30" customFormat="1" ht="12.75"/>
    <row r="735" s="30" customFormat="1" ht="12.75"/>
    <row r="736" s="30" customFormat="1" ht="12.75"/>
    <row r="737" s="30" customFormat="1" ht="12.75"/>
    <row r="738" s="30" customFormat="1" ht="12.75"/>
    <row r="739" s="30" customFormat="1" ht="12.75"/>
    <row r="740" s="30" customFormat="1" ht="12.75"/>
    <row r="741" s="30" customFormat="1" ht="12.75"/>
    <row r="742" s="30" customFormat="1" ht="12.75"/>
    <row r="743" s="30" customFormat="1" ht="12.75"/>
    <row r="744" s="30" customFormat="1" ht="12.75"/>
    <row r="745" s="30" customFormat="1" ht="12.75"/>
    <row r="746" s="30" customFormat="1" ht="12.75"/>
    <row r="747" s="30" customFormat="1" ht="12.75"/>
    <row r="748" s="30" customFormat="1" ht="12.75"/>
    <row r="749" s="30" customFormat="1" ht="12.75"/>
    <row r="750" s="30" customFormat="1" ht="12.75"/>
    <row r="751" s="30" customFormat="1" ht="12.75"/>
    <row r="752" s="30" customFormat="1" ht="12.75"/>
    <row r="753" s="30" customFormat="1" ht="12.75"/>
    <row r="754" s="30" customFormat="1" ht="12.75"/>
    <row r="755" s="30" customFormat="1" ht="12.75"/>
    <row r="756" s="30" customFormat="1" ht="12.75"/>
    <row r="757" s="30" customFormat="1" ht="12.75"/>
    <row r="758" s="30" customFormat="1" ht="12.75"/>
    <row r="759" s="30" customFormat="1" ht="12.75"/>
    <row r="760" s="30" customFormat="1" ht="12.75"/>
    <row r="761" s="30" customFormat="1" ht="12.75"/>
    <row r="762" s="30" customFormat="1" ht="12.75"/>
    <row r="763" s="30" customFormat="1" ht="12.75"/>
    <row r="764" s="30" customFormat="1" ht="12.75"/>
    <row r="765" s="30" customFormat="1" ht="12.75"/>
    <row r="766" s="30" customFormat="1" ht="12.75"/>
    <row r="767" s="30" customFormat="1" ht="12.75"/>
    <row r="768" s="30" customFormat="1" ht="12.75"/>
    <row r="769" s="30" customFormat="1" ht="12.75"/>
    <row r="770" s="30" customFormat="1" ht="12.75"/>
    <row r="771" s="30" customFormat="1" ht="12.75"/>
    <row r="772" s="30" customFormat="1" ht="12.75"/>
    <row r="773" s="30" customFormat="1" ht="12.75"/>
    <row r="774" s="30" customFormat="1" ht="12.75"/>
    <row r="775" s="30" customFormat="1" ht="12.75"/>
    <row r="776" s="30" customFormat="1" ht="12.75"/>
    <row r="777" s="30" customFormat="1" ht="12.75"/>
    <row r="778" s="30" customFormat="1" ht="12.75"/>
    <row r="779" s="30" customFormat="1" ht="12.75"/>
    <row r="780" s="30" customFormat="1" ht="12.75"/>
    <row r="781" s="30" customFormat="1" ht="12.75"/>
    <row r="782" s="30" customFormat="1" ht="12.75"/>
    <row r="783" s="30" customFormat="1" ht="12.75"/>
    <row r="784" s="30" customFormat="1" ht="12.75"/>
    <row r="785" s="30" customFormat="1" ht="12.75"/>
    <row r="786" s="30" customFormat="1" ht="12.75"/>
    <row r="787" s="30" customFormat="1" ht="12.75"/>
    <row r="788" s="30" customFormat="1" ht="12.75"/>
    <row r="789" s="30" customFormat="1" ht="12.75"/>
    <row r="790" s="30" customFormat="1" ht="12.75"/>
    <row r="791" s="30" customFormat="1" ht="12.75"/>
    <row r="792" s="30" customFormat="1" ht="12.75"/>
    <row r="793" s="30" customFormat="1" ht="12.75"/>
    <row r="794" s="30" customFormat="1" ht="12.75"/>
    <row r="795" s="30" customFormat="1" ht="12.75"/>
    <row r="796" s="30" customFormat="1" ht="12.75"/>
    <row r="797" s="30" customFormat="1" ht="12.75"/>
    <row r="798" s="30" customFormat="1" ht="12.75"/>
    <row r="799" s="30" customFormat="1" ht="12.75"/>
    <row r="800" s="30" customFormat="1" ht="12.75"/>
    <row r="801" s="30" customFormat="1" ht="12.75"/>
    <row r="802" s="30" customFormat="1" ht="12.75"/>
    <row r="803" s="30" customFormat="1" ht="12.75"/>
    <row r="804" s="30" customFormat="1" ht="12.75"/>
    <row r="805" s="30" customFormat="1" ht="12.75"/>
    <row r="806" s="30" customFormat="1" ht="12.75"/>
    <row r="807" s="30" customFormat="1" ht="12.75"/>
    <row r="808" s="30" customFormat="1" ht="12.75"/>
    <row r="809" s="30" customFormat="1" ht="12.75"/>
    <row r="810" s="30" customFormat="1" ht="12.75"/>
    <row r="811" s="30" customFormat="1" ht="12.75"/>
    <row r="812" s="30" customFormat="1" ht="12.75"/>
    <row r="813" s="30" customFormat="1" ht="12.75"/>
    <row r="814" s="30" customFormat="1" ht="12.75"/>
    <row r="815" s="30" customFormat="1" ht="12.75"/>
    <row r="816" s="30" customFormat="1" ht="12.75"/>
    <row r="817" s="30" customFormat="1" ht="12.75"/>
    <row r="818" s="30" customFormat="1" ht="12.75"/>
    <row r="819" s="30" customFormat="1" ht="12.75"/>
    <row r="820" s="30" customFormat="1" ht="12.75"/>
    <row r="821" s="30" customFormat="1" ht="12.75"/>
    <row r="822" s="30" customFormat="1" ht="12.75"/>
    <row r="823" s="30" customFormat="1" ht="12.75"/>
    <row r="824" s="30" customFormat="1" ht="12.75"/>
    <row r="825" s="30" customFormat="1" ht="12.75"/>
    <row r="826" s="30" customFormat="1" ht="12.75"/>
    <row r="827" s="30" customFormat="1" ht="12.75"/>
    <row r="828" s="30" customFormat="1" ht="12.75"/>
    <row r="829" s="30" customFormat="1" ht="12.75"/>
    <row r="830" s="30" customFormat="1" ht="12.75"/>
    <row r="831" s="30" customFormat="1" ht="12.75"/>
    <row r="832" s="30" customFormat="1" ht="12.75"/>
    <row r="833" s="30" customFormat="1" ht="12.75"/>
    <row r="834" s="30" customFormat="1" ht="12.75"/>
    <row r="835" s="30" customFormat="1" ht="12.75"/>
    <row r="836" s="30" customFormat="1" ht="12.75"/>
    <row r="837" s="30" customFormat="1" ht="12.75"/>
    <row r="838" s="30" customFormat="1" ht="12.75"/>
    <row r="839" s="30" customFormat="1" ht="12.75"/>
    <row r="840" s="30" customFormat="1" ht="12.75"/>
    <row r="841" s="30" customFormat="1" ht="12.75"/>
    <row r="842" s="30" customFormat="1" ht="12.75"/>
    <row r="843" s="30" customFormat="1" ht="12.75"/>
    <row r="844" s="30" customFormat="1" ht="12.75"/>
    <row r="845" s="30" customFormat="1" ht="12.75"/>
    <row r="846" s="30" customFormat="1" ht="12.75"/>
    <row r="847" s="30" customFormat="1" ht="12.75"/>
    <row r="848" s="30" customFormat="1" ht="12.75"/>
    <row r="849" s="30" customFormat="1" ht="12.75"/>
    <row r="850" s="30" customFormat="1" ht="12.75"/>
    <row r="851" s="30" customFormat="1" ht="12.75"/>
    <row r="852" s="30" customFormat="1" ht="12.75"/>
    <row r="853" s="30" customFormat="1" ht="12.75"/>
    <row r="854" s="30" customFormat="1" ht="12.75"/>
    <row r="855" s="30" customFormat="1" ht="12.75"/>
    <row r="856" s="30" customFormat="1" ht="12.75"/>
    <row r="857" s="30" customFormat="1" ht="12.75"/>
    <row r="858" s="30" customFormat="1" ht="12.75"/>
    <row r="859" s="30" customFormat="1" ht="12.75"/>
    <row r="860" s="30" customFormat="1" ht="12.75"/>
    <row r="861" s="30" customFormat="1" ht="12.75"/>
    <row r="862" s="30" customFormat="1" ht="12.75"/>
    <row r="863" s="30" customFormat="1" ht="12.75"/>
    <row r="864" s="30" customFormat="1" ht="12.75"/>
    <row r="865" s="30" customFormat="1" ht="12.75"/>
    <row r="866" s="30" customFormat="1" ht="12.75"/>
    <row r="867" s="30" customFormat="1" ht="12.75"/>
    <row r="868" s="30" customFormat="1" ht="12.75"/>
    <row r="869" s="30" customFormat="1" ht="12.75"/>
    <row r="870" s="30" customFormat="1" ht="12.75"/>
    <row r="871" s="30" customFormat="1" ht="12.75"/>
    <row r="872" s="30" customFormat="1" ht="12.75"/>
    <row r="873" s="30" customFormat="1" ht="12.75"/>
    <row r="874" s="30" customFormat="1" ht="12.75"/>
    <row r="875" s="30" customFormat="1" ht="12.75"/>
    <row r="876" s="30" customFormat="1" ht="12.75"/>
    <row r="877" s="30" customFormat="1" ht="12.75"/>
    <row r="878" s="30" customFormat="1" ht="12.75"/>
    <row r="879" s="30" customFormat="1" ht="12.75"/>
    <row r="880" s="30" customFormat="1" ht="12.75"/>
    <row r="881" s="30" customFormat="1" ht="12.75"/>
    <row r="882" s="30" customFormat="1" ht="12.75"/>
    <row r="883" s="30" customFormat="1" ht="12.75"/>
    <row r="884" s="30" customFormat="1" ht="12.75"/>
    <row r="885" s="30" customFormat="1" ht="12.75"/>
    <row r="886" s="30" customFormat="1" ht="12.75"/>
    <row r="887" s="30" customFormat="1" ht="12.75"/>
    <row r="888" s="30" customFormat="1" ht="12.75"/>
    <row r="889" s="30" customFormat="1" ht="12.75"/>
    <row r="890" s="30" customFormat="1" ht="12.75"/>
    <row r="891" s="30" customFormat="1" ht="12.75"/>
    <row r="892" s="30" customFormat="1" ht="12.75"/>
    <row r="893" s="30" customFormat="1" ht="12.75"/>
    <row r="894" s="30" customFormat="1" ht="12.75"/>
    <row r="895" s="30" customFormat="1" ht="12.75"/>
    <row r="896" s="30" customFormat="1" ht="12.75"/>
    <row r="897" s="30" customFormat="1" ht="12.75"/>
    <row r="898" s="30" customFormat="1" ht="12.75"/>
    <row r="899" s="30" customFormat="1" ht="12.75"/>
    <row r="900" s="30" customFormat="1" ht="12.75"/>
    <row r="901" s="30" customFormat="1" ht="12.75"/>
    <row r="902" s="30" customFormat="1" ht="12.75"/>
    <row r="903" s="30" customFormat="1" ht="12.75"/>
    <row r="904" s="30" customFormat="1" ht="12.75"/>
    <row r="905" s="30" customFormat="1" ht="12.75"/>
    <row r="906" s="30" customFormat="1" ht="12.75"/>
    <row r="907" s="30" customFormat="1" ht="12.75"/>
    <row r="908" s="30" customFormat="1" ht="12.75"/>
    <row r="909" s="30" customFormat="1" ht="12.75"/>
    <row r="910" s="30" customFormat="1" ht="12.75"/>
    <row r="911" s="30" customFormat="1" ht="12.75"/>
    <row r="912" s="30" customFormat="1" ht="12.75"/>
    <row r="913" s="30" customFormat="1" ht="12.75"/>
    <row r="914" s="30" customFormat="1" ht="12.75"/>
    <row r="915" s="30" customFormat="1" ht="12.75"/>
    <row r="916" s="30" customFormat="1" ht="12.75"/>
    <row r="917" s="30" customFormat="1" ht="12.75"/>
    <row r="918" s="30" customFormat="1" ht="12.75"/>
    <row r="919" s="30" customFormat="1" ht="12.75"/>
    <row r="920" s="30" customFormat="1" ht="12.75"/>
    <row r="921" s="30" customFormat="1" ht="12.75"/>
    <row r="922" s="30" customFormat="1" ht="12.75"/>
    <row r="923" s="30" customFormat="1" ht="12.75"/>
    <row r="924" s="30" customFormat="1" ht="12.75"/>
    <row r="925" s="30" customFormat="1" ht="12.75"/>
    <row r="926" s="30" customFormat="1" ht="12.75"/>
    <row r="927" s="30" customFormat="1" ht="12.75"/>
    <row r="928" s="30" customFormat="1" ht="12.75"/>
    <row r="929" s="30" customFormat="1" ht="12.75"/>
    <row r="930" s="30" customFormat="1" ht="12.75"/>
    <row r="931" s="30" customFormat="1" ht="12.75"/>
    <row r="932" s="30" customFormat="1" ht="12.75"/>
    <row r="933" s="30" customFormat="1" ht="12.75"/>
    <row r="934" s="30" customFormat="1" ht="12.75"/>
    <row r="935" s="30" customFormat="1" ht="12.75"/>
    <row r="936" s="30" customFormat="1" ht="12.75"/>
    <row r="937" s="30" customFormat="1" ht="12.75"/>
    <row r="938" s="30" customFormat="1" ht="12.75"/>
    <row r="939" s="30" customFormat="1" ht="12.75"/>
    <row r="940" s="30" customFormat="1" ht="12.75"/>
    <row r="941" s="30" customFormat="1" ht="12.75"/>
    <row r="942" s="30" customFormat="1" ht="12.75"/>
    <row r="943" s="30" customFormat="1" ht="12.75"/>
    <row r="944" s="30" customFormat="1" ht="12.75"/>
    <row r="945" s="30" customFormat="1" ht="12.75"/>
    <row r="946" s="30" customFormat="1" ht="12.75"/>
    <row r="947" s="30" customFormat="1" ht="12.75"/>
    <row r="948" s="30" customFormat="1" ht="12.75"/>
    <row r="949" s="30" customFormat="1" ht="12.75"/>
    <row r="950" s="30" customFormat="1" ht="12.75"/>
    <row r="951" s="30" customFormat="1" ht="12.75"/>
    <row r="952" s="30" customFormat="1" ht="12.75"/>
    <row r="953" s="30" customFormat="1" ht="12.75"/>
    <row r="954" s="30" customFormat="1" ht="12.75"/>
    <row r="955" s="30" customFormat="1" ht="12.75"/>
    <row r="956" s="30" customFormat="1" ht="12.75"/>
    <row r="957" s="30" customFormat="1" ht="12.75"/>
    <row r="958" s="30" customFormat="1" ht="12.75"/>
    <row r="959" s="30" customFormat="1" ht="12.75"/>
    <row r="960" s="30" customFormat="1" ht="12.75"/>
    <row r="961" s="30" customFormat="1" ht="12.75"/>
    <row r="962" s="30" customFormat="1" ht="12.75"/>
    <row r="963" s="30" customFormat="1" ht="12.75"/>
    <row r="964" s="30" customFormat="1" ht="12.75"/>
    <row r="965" s="30" customFormat="1" ht="12.75"/>
    <row r="966" s="30" customFormat="1" ht="12.75"/>
    <row r="967" s="30" customFormat="1" ht="12.75"/>
    <row r="968" s="30" customFormat="1" ht="12.75"/>
    <row r="969" s="30" customFormat="1" ht="12.75"/>
    <row r="970" s="30" customFormat="1" ht="12.75"/>
    <row r="971" s="30" customFormat="1" ht="12.75"/>
    <row r="972" s="30" customFormat="1" ht="12.75"/>
    <row r="973" s="30" customFormat="1" ht="12.75"/>
    <row r="974" s="30" customFormat="1" ht="12.75"/>
    <row r="975" s="30" customFormat="1" ht="12.75"/>
    <row r="976" s="30" customFormat="1" ht="12.75"/>
    <row r="977" s="30" customFormat="1" ht="12.75"/>
    <row r="978" s="30" customFormat="1" ht="12.75"/>
    <row r="979" s="30" customFormat="1" ht="12.75"/>
    <row r="980" s="30" customFormat="1" ht="12.75"/>
    <row r="981" s="30" customFormat="1" ht="12.75"/>
    <row r="982" s="30" customFormat="1" ht="12.75"/>
    <row r="983" s="30" customFormat="1" ht="12.75"/>
    <row r="984" s="30" customFormat="1" ht="12.75"/>
    <row r="985" s="30" customFormat="1" ht="12.75"/>
    <row r="986" s="30" customFormat="1" ht="12.75"/>
    <row r="987" s="30" customFormat="1" ht="12.75"/>
    <row r="988" s="30" customFormat="1" ht="12.75"/>
    <row r="989" s="30" customFormat="1" ht="12.75"/>
    <row r="990" s="30" customFormat="1" ht="12.75"/>
    <row r="991" s="30" customFormat="1" ht="12.75"/>
    <row r="992" s="30" customFormat="1" ht="12.75"/>
    <row r="993" s="30" customFormat="1" ht="12.75"/>
    <row r="994" s="30" customFormat="1" ht="12.75"/>
    <row r="995" s="30" customFormat="1" ht="12.75"/>
    <row r="996" s="30" customFormat="1" ht="12.75"/>
    <row r="997" s="30" customFormat="1" ht="12.75"/>
    <row r="998" s="30" customFormat="1" ht="12.75"/>
    <row r="999" s="30" customFormat="1" ht="12.75"/>
    <row r="1000" s="30" customFormat="1" ht="12.75"/>
    <row r="1001" s="30" customFormat="1" ht="12.75"/>
    <row r="1002" s="30" customFormat="1" ht="12.75"/>
    <row r="1003" s="30" customFormat="1" ht="12.75"/>
    <row r="1004" s="30" customFormat="1" ht="12.75"/>
    <row r="1005" s="30" customFormat="1" ht="12.75"/>
    <row r="1006" s="30" customFormat="1" ht="12.75"/>
    <row r="1007" s="30" customFormat="1" ht="12.75"/>
    <row r="1008" s="30" customFormat="1" ht="12.75"/>
    <row r="1009" s="30" customFormat="1" ht="12.75"/>
    <row r="1010" s="30" customFormat="1" ht="12.75"/>
    <row r="1011" s="30" customFormat="1" ht="12.75"/>
    <row r="1012" s="30" customFormat="1" ht="12.75"/>
    <row r="1013" s="30" customFormat="1" ht="12.75"/>
    <row r="1014" s="30" customFormat="1" ht="12.75"/>
    <row r="1015" s="30" customFormat="1" ht="12.75"/>
    <row r="1016" s="30" customFormat="1" ht="12.75"/>
    <row r="1017" s="30" customFormat="1" ht="12.75"/>
    <row r="1018" s="30" customFormat="1" ht="12.75"/>
    <row r="1019" s="30" customFormat="1" ht="12.75"/>
    <row r="1020" s="30" customFormat="1" ht="12.75"/>
    <row r="1021" s="30" customFormat="1" ht="12.75"/>
    <row r="1022" s="30" customFormat="1" ht="12.75"/>
    <row r="1023" s="30" customFormat="1" ht="12.75"/>
    <row r="1024" s="30" customFormat="1" ht="12.75"/>
    <row r="1025" s="30" customFormat="1" ht="12.75"/>
    <row r="1026" s="30" customFormat="1" ht="12.75"/>
    <row r="1027" s="30" customFormat="1" ht="12.75"/>
    <row r="1028" s="30" customFormat="1" ht="12.75"/>
    <row r="1029" s="30" customFormat="1" ht="12.75"/>
    <row r="1030" s="30" customFormat="1" ht="12.75"/>
    <row r="1031" s="30" customFormat="1" ht="12.75"/>
    <row r="1032" s="30" customFormat="1" ht="12.75"/>
    <row r="1033" s="30" customFormat="1" ht="12.75"/>
    <row r="1034" s="30" customFormat="1" ht="12.75"/>
    <row r="1035" s="30" customFormat="1" ht="12.75"/>
    <row r="1036" s="30" customFormat="1" ht="12.75"/>
    <row r="1037" s="30" customFormat="1" ht="12.75"/>
    <row r="1038" s="30" customFormat="1" ht="12.75"/>
    <row r="1039" s="30" customFormat="1" ht="12.75"/>
    <row r="1040" s="30" customFormat="1" ht="12.75"/>
    <row r="1041" s="30" customFormat="1" ht="12.75"/>
    <row r="1042" s="30" customFormat="1" ht="12.75"/>
    <row r="1043" s="30" customFormat="1" ht="12.75"/>
    <row r="1044" s="30" customFormat="1" ht="12.75"/>
    <row r="1045" s="30" customFormat="1" ht="12.75"/>
    <row r="1046" s="30" customFormat="1" ht="12.75"/>
    <row r="1047" s="30" customFormat="1" ht="12.75"/>
    <row r="1048" s="30" customFormat="1" ht="12.75"/>
    <row r="1049" s="30" customFormat="1" ht="12.75"/>
    <row r="1050" s="30" customFormat="1" ht="12.75"/>
    <row r="1051" s="30" customFormat="1" ht="12.75"/>
    <row r="1052" s="30" customFormat="1" ht="12.75"/>
    <row r="1053" s="30" customFormat="1" ht="12.75"/>
    <row r="1054" s="30" customFormat="1" ht="12.75"/>
    <row r="1055" s="30" customFormat="1" ht="12.75"/>
    <row r="1056" s="30" customFormat="1" ht="12.75"/>
    <row r="1057" s="30" customFormat="1" ht="12.75"/>
    <row r="1058" s="30" customFormat="1" ht="12.75"/>
    <row r="1059" s="30" customFormat="1" ht="12.75"/>
    <row r="1060" s="30" customFormat="1" ht="12.75"/>
    <row r="1061" s="30" customFormat="1" ht="12.75"/>
    <row r="1062" s="30" customFormat="1" ht="12.75"/>
    <row r="1063" s="30" customFormat="1" ht="12.75"/>
    <row r="1064" s="30" customFormat="1" ht="12.75"/>
    <row r="1065" s="30" customFormat="1" ht="12.75"/>
    <row r="1066" s="30" customFormat="1" ht="12.75"/>
    <row r="1067" s="30" customFormat="1" ht="12.75"/>
    <row r="1068" s="30" customFormat="1" ht="12.75"/>
    <row r="1069" s="30" customFormat="1" ht="12.75"/>
    <row r="1070" s="30" customFormat="1" ht="12.75"/>
    <row r="1071" s="30" customFormat="1" ht="12.75"/>
    <row r="1072" s="30" customFormat="1" ht="12.75"/>
    <row r="1073" s="30" customFormat="1" ht="12.75"/>
    <row r="1074" s="30" customFormat="1" ht="12.75"/>
    <row r="1075" s="30" customFormat="1" ht="12.75"/>
    <row r="1076" s="30" customFormat="1" ht="12.75"/>
    <row r="1077" s="30" customFormat="1" ht="12.75"/>
    <row r="1078" s="30" customFormat="1" ht="12.75"/>
    <row r="1079" s="30" customFormat="1" ht="12.75"/>
    <row r="1080" s="30" customFormat="1" ht="12.75"/>
    <row r="1081" s="30" customFormat="1" ht="12.75"/>
    <row r="1082" s="30" customFormat="1" ht="12.75"/>
    <row r="1083" s="30" customFormat="1" ht="12.75"/>
    <row r="1084" s="30" customFormat="1" ht="12.75"/>
    <row r="1085" s="30" customFormat="1" ht="12.75"/>
    <row r="1086" s="30" customFormat="1" ht="12.75"/>
    <row r="1087" s="30" customFormat="1" ht="12.75"/>
    <row r="1088" s="30" customFormat="1" ht="12.75"/>
    <row r="1089" s="30" customFormat="1" ht="12.75"/>
    <row r="1090" s="30" customFormat="1" ht="12.75"/>
    <row r="1091" s="30" customFormat="1" ht="12.75"/>
    <row r="1092" s="30" customFormat="1" ht="12.75"/>
    <row r="1093" s="30" customFormat="1" ht="12.75"/>
    <row r="1094" s="30" customFormat="1" ht="12.75"/>
    <row r="1095" s="30" customFormat="1" ht="12.75"/>
    <row r="1096" s="30" customFormat="1" ht="12.75"/>
    <row r="1097" s="30" customFormat="1" ht="12.75"/>
    <row r="1098" s="30" customFormat="1" ht="12.75"/>
    <row r="1099" s="30" customFormat="1" ht="12.75"/>
    <row r="1100" s="30" customFormat="1" ht="12.75"/>
    <row r="1101" s="30" customFormat="1" ht="12.75"/>
    <row r="1102" s="30" customFormat="1" ht="12.75"/>
    <row r="1103" s="30" customFormat="1" ht="12.75"/>
    <row r="1104" s="30" customFormat="1" ht="12.75"/>
    <row r="1105" s="30" customFormat="1" ht="12.75"/>
    <row r="1106" s="30" customFormat="1" ht="12.75"/>
    <row r="1107" s="30" customFormat="1" ht="12.75"/>
    <row r="1108" s="30" customFormat="1" ht="12.75"/>
    <row r="1109" s="30" customFormat="1" ht="12.75"/>
    <row r="1110" s="30" customFormat="1" ht="12.75"/>
    <row r="1111" s="30" customFormat="1" ht="12.75"/>
    <row r="1112" s="30" customFormat="1" ht="12.75"/>
    <row r="1113" s="30" customFormat="1" ht="12.75"/>
    <row r="1114" s="30" customFormat="1" ht="12.75"/>
    <row r="1115" s="30" customFormat="1" ht="12.75"/>
    <row r="1116" s="30" customFormat="1" ht="12.75"/>
    <row r="1117" s="30" customFormat="1" ht="12.75"/>
    <row r="1118" s="30" customFormat="1" ht="12.75"/>
    <row r="1119" s="30" customFormat="1" ht="12.75"/>
    <row r="1120" s="30" customFormat="1" ht="12.75"/>
    <row r="1121" s="30" customFormat="1" ht="12.75"/>
    <row r="1122" s="30" customFormat="1" ht="12.75"/>
    <row r="1123" s="30" customFormat="1" ht="12.75"/>
    <row r="1124" s="30" customFormat="1" ht="12.75"/>
    <row r="1125" s="30" customFormat="1" ht="12.75"/>
    <row r="1126" s="30" customFormat="1" ht="12.75"/>
    <row r="1127" s="30" customFormat="1" ht="12.75"/>
    <row r="1128" s="30" customFormat="1" ht="12.75"/>
    <row r="1129" s="30" customFormat="1" ht="12.75"/>
    <row r="1130" s="30" customFormat="1" ht="12.75"/>
    <row r="1131" s="30" customFormat="1" ht="12.75"/>
    <row r="1132" s="30" customFormat="1" ht="12.75"/>
    <row r="1133" s="30" customFormat="1" ht="12.75"/>
    <row r="1134" s="30" customFormat="1" ht="12.75"/>
    <row r="1135" s="30" customFormat="1" ht="12.75"/>
    <row r="1136" s="30" customFormat="1" ht="12.75"/>
    <row r="1137" s="30" customFormat="1" ht="12.75"/>
    <row r="1138" s="30" customFormat="1" ht="12.75"/>
    <row r="1139" s="30" customFormat="1" ht="12.75"/>
    <row r="1140" s="30" customFormat="1" ht="12.75"/>
    <row r="1141" s="30" customFormat="1" ht="12.75"/>
    <row r="1142" s="30" customFormat="1" ht="12.75"/>
    <row r="1143" s="30" customFormat="1" ht="12.75"/>
    <row r="1144" s="30" customFormat="1" ht="12.75"/>
    <row r="1145" s="30" customFormat="1" ht="12.75"/>
    <row r="1146" s="30" customFormat="1" ht="12.75"/>
    <row r="1147" s="30" customFormat="1" ht="12.75"/>
    <row r="1148" s="30" customFormat="1" ht="12.75"/>
    <row r="1149" s="30" customFormat="1" ht="12.75"/>
    <row r="1150" s="30" customFormat="1" ht="12.75"/>
    <row r="1151" s="30" customFormat="1" ht="12.75"/>
    <row r="1152" s="30" customFormat="1" ht="12.75"/>
    <row r="1153" s="30" customFormat="1" ht="12.75"/>
    <row r="1154" s="30" customFormat="1" ht="12.75"/>
    <row r="1155" s="30" customFormat="1" ht="12.75"/>
    <row r="1156" s="30" customFormat="1" ht="12.75"/>
    <row r="1157" s="30" customFormat="1" ht="12.75"/>
    <row r="1158" s="30" customFormat="1" ht="12.75"/>
    <row r="1159" s="30" customFormat="1" ht="12.75"/>
    <row r="1160" s="30" customFormat="1" ht="12.75"/>
    <row r="1161" s="30" customFormat="1" ht="12.75"/>
    <row r="1162" s="30" customFormat="1" ht="12.75"/>
    <row r="1163" s="30" customFormat="1" ht="12.75"/>
    <row r="1164" s="30" customFormat="1" ht="12.75"/>
    <row r="1165" s="30" customFormat="1" ht="12.75"/>
  </sheetData>
  <sheetProtection/>
  <mergeCells count="7">
    <mergeCell ref="D1:F2"/>
    <mergeCell ref="A3:F3"/>
    <mergeCell ref="F5:F6"/>
    <mergeCell ref="H5:H6"/>
    <mergeCell ref="A4:D4"/>
    <mergeCell ref="A5:A6"/>
    <mergeCell ref="B5:E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2010-04-08T09:42:47Z</cp:lastPrinted>
  <dcterms:created xsi:type="dcterms:W3CDTF">2007-09-27T04:48:52Z</dcterms:created>
  <dcterms:modified xsi:type="dcterms:W3CDTF">2010-04-08T09:44:41Z</dcterms:modified>
  <cp:category/>
  <cp:version/>
  <cp:contentType/>
  <cp:contentStatus/>
</cp:coreProperties>
</file>